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Mercado y Regulacion\15. Actividades Periodicas\2. CNE\6. Registo de contratos\2017\10_oct\"/>
    </mc:Choice>
  </mc:AlternateContent>
  <bookViews>
    <workbookView xWindow="0" yWindow="0" windowWidth="19200" windowHeight="7305"/>
  </bookViews>
  <sheets>
    <sheet name="Tabla N°3" sheetId="12" r:id="rId1"/>
  </sheets>
  <externalReferences>
    <externalReference r:id="rId2"/>
    <externalReference r:id="rId3"/>
  </externalReferences>
  <definedNames>
    <definedName name="_xlnm._FilterDatabase" localSheetId="0" hidden="1">'Tabla N°3'!$B$7:$BG$13</definedName>
  </definedNames>
  <calcPr calcId="162913"/>
</workbook>
</file>

<file path=xl/calcChain.xml><?xml version="1.0" encoding="utf-8"?>
<calcChain xmlns="http://schemas.openxmlformats.org/spreadsheetml/2006/main">
  <c r="Y17" i="12" l="1"/>
  <c r="X15" i="12"/>
  <c r="Y15" i="12"/>
  <c r="W15" i="12"/>
  <c r="Y12" i="12" l="1"/>
  <c r="Y10" i="12"/>
  <c r="Y8" i="12"/>
  <c r="V13" i="12"/>
  <c r="U13" i="12"/>
  <c r="V12" i="12"/>
  <c r="U12" i="12"/>
  <c r="V11" i="12"/>
  <c r="V10" i="12"/>
  <c r="V9" i="12"/>
  <c r="V8" i="12"/>
  <c r="S11" i="12" l="1"/>
  <c r="S10" i="12"/>
  <c r="S9" i="12"/>
  <c r="S8" i="12"/>
  <c r="J8" i="12" l="1"/>
  <c r="M8" i="12"/>
  <c r="AF8" i="12" s="1"/>
  <c r="AQ8" i="12" s="1"/>
  <c r="J9" i="12"/>
  <c r="N9" i="12"/>
  <c r="AG9" i="12" s="1"/>
  <c r="M9" i="12"/>
  <c r="J10" i="12"/>
  <c r="N10" i="12"/>
  <c r="K10" i="12"/>
  <c r="M10" i="12"/>
  <c r="J11" i="12"/>
  <c r="N11" i="12"/>
  <c r="M11" i="12"/>
  <c r="AF11" i="12" s="1"/>
  <c r="J12" i="12"/>
  <c r="N12" i="12"/>
  <c r="AG12" i="12" s="1"/>
  <c r="AR12" i="12" s="1"/>
  <c r="J13" i="12"/>
  <c r="M13" i="12"/>
  <c r="N13" i="12"/>
  <c r="K8" i="12"/>
  <c r="K9" i="12"/>
  <c r="AD5" i="12"/>
  <c r="AO5" i="12" s="1"/>
  <c r="AY5" i="12" s="1"/>
  <c r="S5" i="12"/>
  <c r="AE11" i="12" l="1"/>
  <c r="AD11" i="12"/>
  <c r="AH11" i="12" s="1"/>
  <c r="T11" i="12"/>
  <c r="X11" i="12" s="1"/>
  <c r="AE10" i="12"/>
  <c r="AD10" i="12"/>
  <c r="T10" i="12"/>
  <c r="X10" i="12" s="1"/>
  <c r="AE12" i="12"/>
  <c r="AI12" i="12" s="1"/>
  <c r="T12" i="12"/>
  <c r="X12" i="12" s="1"/>
  <c r="AD12" i="12"/>
  <c r="S12" i="12"/>
  <c r="AE8" i="12"/>
  <c r="AD8" i="12"/>
  <c r="T8" i="12"/>
  <c r="X8" i="12" s="1"/>
  <c r="AE13" i="12"/>
  <c r="AD13" i="12"/>
  <c r="T13" i="12"/>
  <c r="X13" i="12" s="1"/>
  <c r="S13" i="12"/>
  <c r="K13" i="12" s="1"/>
  <c r="T9" i="12"/>
  <c r="AE9" i="12"/>
  <c r="AI9" i="12" s="1"/>
  <c r="AD9" i="12"/>
  <c r="AO9" i="12" s="1"/>
  <c r="AQ11" i="12"/>
  <c r="AG13" i="12"/>
  <c r="AR13" i="12" s="1"/>
  <c r="AG10" i="12"/>
  <c r="AR10" i="12" s="1"/>
  <c r="Y2" i="12"/>
  <c r="N8" i="12"/>
  <c r="AG8" i="12" s="1"/>
  <c r="AR8" i="12" s="1"/>
  <c r="M12" i="12"/>
  <c r="AR9" i="12"/>
  <c r="AG11" i="12"/>
  <c r="AR11" i="12" s="1"/>
  <c r="AF10" i="12"/>
  <c r="AQ10" i="12" s="1"/>
  <c r="K11" i="12"/>
  <c r="AF9" i="12"/>
  <c r="AF13" i="12"/>
  <c r="V2" i="12"/>
  <c r="U2" i="12"/>
  <c r="Z8" i="12" l="1"/>
  <c r="AA8" i="12" s="1"/>
  <c r="Z11" i="12"/>
  <c r="AA11" i="12" s="1"/>
  <c r="P11" i="12" s="1"/>
  <c r="Z10" i="12"/>
  <c r="AA10" i="12" s="1"/>
  <c r="AS9" i="12"/>
  <c r="AI10" i="12"/>
  <c r="AO13" i="12"/>
  <c r="Z9" i="12"/>
  <c r="X9" i="12"/>
  <c r="Z12" i="12"/>
  <c r="AA12" i="12" s="1"/>
  <c r="W12" i="12"/>
  <c r="Z13" i="12"/>
  <c r="AA13" i="12" s="1"/>
  <c r="W13" i="12"/>
  <c r="AS13" i="12"/>
  <c r="AI13" i="12"/>
  <c r="AI11" i="12"/>
  <c r="AF12" i="12"/>
  <c r="AQ12" i="12" s="1"/>
  <c r="L9" i="12"/>
  <c r="AK11" i="12"/>
  <c r="AL11" i="12" s="1"/>
  <c r="AI8" i="12"/>
  <c r="AO11" i="12"/>
  <c r="AS11" i="12"/>
  <c r="L11" i="12"/>
  <c r="L13" i="12"/>
  <c r="K12" i="12"/>
  <c r="L8" i="12"/>
  <c r="AK13" i="12"/>
  <c r="AL13" i="12" s="1"/>
  <c r="AH13" i="12"/>
  <c r="AQ9" i="12"/>
  <c r="AO10" i="12"/>
  <c r="AS10" i="12"/>
  <c r="AK10" i="12"/>
  <c r="AL10" i="12" s="1"/>
  <c r="AH10" i="12"/>
  <c r="AK9" i="12"/>
  <c r="AQ13" i="12"/>
  <c r="L10" i="12"/>
  <c r="L12" i="12"/>
  <c r="AH9" i="12"/>
  <c r="AO8" i="12"/>
  <c r="AS8" i="12"/>
  <c r="AK8" i="12"/>
  <c r="AL8" i="12" s="1"/>
  <c r="AH8" i="12"/>
  <c r="O11" i="12" l="1"/>
  <c r="AU11" i="12" s="1"/>
  <c r="AA9" i="12"/>
  <c r="P9" i="12" s="1"/>
  <c r="O9" i="12"/>
  <c r="AU9" i="12" s="1"/>
  <c r="AV11" i="12"/>
  <c r="AH12" i="12"/>
  <c r="AK12" i="12"/>
  <c r="AL12" i="12" s="1"/>
  <c r="X2" i="12"/>
  <c r="Z2" i="12"/>
  <c r="AP9" i="12"/>
  <c r="AT9" i="12"/>
  <c r="P13" i="12"/>
  <c r="AV13" i="12" s="1"/>
  <c r="O13" i="12"/>
  <c r="AU13" i="12" s="1"/>
  <c r="AP11" i="12"/>
  <c r="AT11" i="12"/>
  <c r="AT13" i="12"/>
  <c r="AP13" i="12"/>
  <c r="AP10" i="12"/>
  <c r="AT10" i="12"/>
  <c r="O8" i="12"/>
  <c r="AU8" i="12" s="1"/>
  <c r="P8" i="12"/>
  <c r="AV8" i="12" s="1"/>
  <c r="W2" i="12"/>
  <c r="AL9" i="12"/>
  <c r="AP8" i="12"/>
  <c r="AT8" i="12"/>
  <c r="AP12" i="12"/>
  <c r="AT12" i="12"/>
  <c r="O12" i="12"/>
  <c r="P12" i="12"/>
  <c r="O10" i="12"/>
  <c r="AU10" i="12" s="1"/>
  <c r="P10" i="12"/>
  <c r="AV10" i="12" s="1"/>
  <c r="AO12" i="12"/>
  <c r="AS12" i="12"/>
  <c r="AV9" i="12" l="1"/>
  <c r="AV12" i="12"/>
  <c r="AU12" i="12"/>
  <c r="Z1" i="12"/>
  <c r="AA2" i="12" s="1"/>
  <c r="AU2" i="12" l="1"/>
</calcChain>
</file>

<file path=xl/sharedStrings.xml><?xml version="1.0" encoding="utf-8"?>
<sst xmlns="http://schemas.openxmlformats.org/spreadsheetml/2006/main" count="140" uniqueCount="50">
  <si>
    <t>NOMBRE</t>
  </si>
  <si>
    <t>INICIO</t>
  </si>
  <si>
    <t>TERMINO</t>
  </si>
  <si>
    <t>Charrua 220</t>
  </si>
  <si>
    <t>PUNTO DE</t>
  </si>
  <si>
    <t>TENSION</t>
  </si>
  <si>
    <t>LICITACIÓN (3)</t>
  </si>
  <si>
    <t>BLOQUE</t>
  </si>
  <si>
    <t>FECHAS CONTRATO</t>
  </si>
  <si>
    <t>NOMBRE S/E</t>
  </si>
  <si>
    <t>PRECIO POTENCIA</t>
  </si>
  <si>
    <t>PRECIO ENERGÍA</t>
  </si>
  <si>
    <t>POTENCIA</t>
  </si>
  <si>
    <t>ENERGIA</t>
  </si>
  <si>
    <t>COMPRA</t>
  </si>
  <si>
    <t>PRECIO MEDIO</t>
  </si>
  <si>
    <t>EMPRESA DISTRIBUIDORA (2)</t>
  </si>
  <si>
    <t>EMPRESA SUMINISTRADORA (2)</t>
  </si>
  <si>
    <t>SUMINISTRO (2)</t>
  </si>
  <si>
    <t>[kV]</t>
  </si>
  <si>
    <t>DE SUMINISTRO (4)</t>
  </si>
  <si>
    <t>TRONCAL (5)</t>
  </si>
  <si>
    <t>[$/kW/mes]</t>
  </si>
  <si>
    <t>[$/kWh]</t>
  </si>
  <si>
    <t>[MW] (6)</t>
  </si>
  <si>
    <t>[MWh]</t>
  </si>
  <si>
    <t>[M$] *</t>
  </si>
  <si>
    <t>[$/kWh] **</t>
  </si>
  <si>
    <t>Itahue 220</t>
  </si>
  <si>
    <t>VENTAS A EMPRESAS DISTRIBUIDORAS A PRECIO DE NUDO DE LARGO PLAZO</t>
  </si>
  <si>
    <t>Tabla N°3: VENTAS POR BARRAS TRONCALES, BLOQUES Y LICITACIÓN (1)</t>
  </si>
  <si>
    <t>Ventas a PNLP a empresas distribuidoras.</t>
  </si>
  <si>
    <t>AELA GENERACIÓN S.A.</t>
  </si>
  <si>
    <t>2015/02</t>
  </si>
  <si>
    <t xml:space="preserve">Potencia </t>
  </si>
  <si>
    <t>Energía</t>
  </si>
  <si>
    <t>Reactivos</t>
  </si>
  <si>
    <t>Información Enviada</t>
  </si>
  <si>
    <t>Reporte a CNE</t>
  </si>
  <si>
    <t>Copelec</t>
  </si>
  <si>
    <t>BS4A</t>
  </si>
  <si>
    <t>BS4B</t>
  </si>
  <si>
    <t>BS4C</t>
  </si>
  <si>
    <t>Total</t>
  </si>
  <si>
    <t>Facturación esperada</t>
  </si>
  <si>
    <t>Diferencias</t>
  </si>
  <si>
    <t>Reliquidaciones</t>
  </si>
  <si>
    <t>Proceso</t>
  </si>
  <si>
    <t>Saldo Neto</t>
  </si>
  <si>
    <t>cl$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</si>
</sst>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#,##0.0"/>
    <numFmt numFmtId="167" formatCode="_-* #,##0.000_-;\-* #,##0.000_-;_-* &quot;-&quot;??_-;_-@_-"/>
    <numFmt numFmtId="169" formatCode="_-* #,##0.0_-;\-* #,##0.0_-;_-* &quot;-&quot;??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4" fontId="4" fillId="2" borderId="7" xfId="0" applyNumberFormat="1" applyFont="1" applyFill="1" applyBorder="1" applyAlignment="1">
      <alignment horizontal="center"/>
    </xf>
    <xf numFmtId="0" fontId="4" fillId="0" borderId="0" xfId="0" applyFont="1" applyFill="1"/>
    <xf numFmtId="4" fontId="4" fillId="2" borderId="7" xfId="0" applyNumberFormat="1" applyFont="1" applyFill="1" applyBorder="1" applyAlignment="1">
      <alignment horizontal="center"/>
    </xf>
    <xf numFmtId="43" fontId="4" fillId="2" borderId="7" xfId="0" applyNumberFormat="1" applyFont="1" applyFill="1" applyBorder="1" applyAlignment="1">
      <alignment horizontal="center"/>
    </xf>
    <xf numFmtId="0" fontId="4" fillId="3" borderId="0" xfId="0" applyFont="1" applyFill="1"/>
    <xf numFmtId="0" fontId="0" fillId="0" borderId="5" xfId="0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167" fontId="4" fillId="0" borderId="7" xfId="2" applyNumberFormat="1" applyFont="1" applyFill="1" applyBorder="1" applyAlignment="1">
      <alignment horizontal="center"/>
    </xf>
    <xf numFmtId="166" fontId="4" fillId="2" borderId="0" xfId="0" applyNumberFormat="1" applyFont="1" applyFill="1"/>
    <xf numFmtId="164" fontId="4" fillId="2" borderId="0" xfId="0" applyNumberFormat="1" applyFont="1" applyFill="1"/>
    <xf numFmtId="4" fontId="4" fillId="0" borderId="7" xfId="0" applyNumberFormat="1" applyFont="1" applyFill="1" applyBorder="1" applyAlignment="1">
      <alignment horizontal="center"/>
    </xf>
    <xf numFmtId="169" fontId="4" fillId="2" borderId="7" xfId="2" applyNumberFormat="1" applyFont="1" applyFill="1" applyBorder="1" applyAlignment="1">
      <alignment horizontal="center"/>
    </xf>
    <xf numFmtId="169" fontId="4" fillId="2" borderId="7" xfId="0" applyNumberFormat="1" applyFont="1" applyFill="1" applyBorder="1" applyAlignment="1">
      <alignment horizontal="center"/>
    </xf>
    <xf numFmtId="4" fontId="4" fillId="2" borderId="0" xfId="0" applyNumberFormat="1" applyFont="1" applyFill="1"/>
    <xf numFmtId="0" fontId="7" fillId="0" borderId="5" xfId="0" applyFont="1" applyBorder="1" applyAlignment="1">
      <alignment horizontal="center"/>
    </xf>
    <xf numFmtId="0" fontId="4" fillId="2" borderId="1" xfId="0" applyFont="1" applyFill="1" applyBorder="1"/>
    <xf numFmtId="0" fontId="4" fillId="2" borderId="6" xfId="0" applyFont="1" applyFill="1" applyBorder="1"/>
    <xf numFmtId="165" fontId="4" fillId="2" borderId="6" xfId="2" applyNumberFormat="1" applyFont="1" applyFill="1" applyBorder="1"/>
    <xf numFmtId="165" fontId="4" fillId="2" borderId="2" xfId="2" applyNumberFormat="1" applyFont="1" applyFill="1" applyBorder="1"/>
    <xf numFmtId="165" fontId="4" fillId="2" borderId="2" xfId="0" applyNumberFormat="1" applyFont="1" applyFill="1" applyBorder="1"/>
  </cellXfs>
  <cellStyles count="7">
    <cellStyle name="A3 297 x 420 mm" xfId="1"/>
    <cellStyle name="Comma" xfId="2" builtinId="3"/>
    <cellStyle name="Comma 2" xfId="5"/>
    <cellStyle name="Millares 10" xfId="6"/>
    <cellStyle name="Normal" xfId="0" builtinId="0"/>
    <cellStyle name="Normal 2" xfId="3"/>
    <cellStyle name="Normal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12.%20Precios/2017/10_oct/Estimaci&#243;n%20Dda%20y%20precios%20Oct17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6.%20Cooperativas/5.%20Copelec/2017/10_oct/1710-COPEL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"/>
      <sheetName val="Estimacion"/>
      <sheetName val="Proyeccion Energia"/>
      <sheetName val="PCompra"/>
      <sheetName val="Pnudo Abril17"/>
      <sheetName val="CPI"/>
      <sheetName val="Estimación Dda y precios Oct17_"/>
    </sheetNames>
    <sheetDataSet>
      <sheetData sheetId="0">
        <row r="9">
          <cell r="B9"/>
          <cell r="C9"/>
          <cell r="D9"/>
          <cell r="E9"/>
          <cell r="F9"/>
          <cell r="G9"/>
        </row>
        <row r="11">
          <cell r="B11" t="str">
            <v>Punto Compra</v>
          </cell>
          <cell r="C11" t="str">
            <v>Fmodulacion E</v>
          </cell>
          <cell r="D11" t="str">
            <v>Fmodulacion P</v>
          </cell>
          <cell r="E11" t="str">
            <v>Energia [US$/MWh]</v>
          </cell>
          <cell r="F11" t="str">
            <v>Potencia [US$/MWh]</v>
          </cell>
          <cell r="G11" t="str">
            <v>Energia [$/kWh]</v>
          </cell>
          <cell r="H11" t="str">
            <v>Potencia [$/kWh]</v>
          </cell>
        </row>
        <row r="12">
          <cell r="B12" t="str">
            <v>Diego de Almagro 220</v>
          </cell>
          <cell r="C12">
            <v>0.88490000000000002</v>
          </cell>
          <cell r="D12">
            <v>1.0059</v>
          </cell>
          <cell r="E12">
            <v>71.528999999999996</v>
          </cell>
          <cell r="F12">
            <v>8.5686999999999998</v>
          </cell>
          <cell r="G12">
            <v>47.295000000000002</v>
          </cell>
          <cell r="H12">
            <v>5665.6243999999997</v>
          </cell>
        </row>
        <row r="13">
          <cell r="B13" t="str">
            <v>Cardones 220</v>
          </cell>
          <cell r="C13">
            <v>0.89119999999999999</v>
          </cell>
          <cell r="D13">
            <v>1.0482</v>
          </cell>
          <cell r="E13">
            <v>72.037999999999997</v>
          </cell>
          <cell r="F13">
            <v>8.9291</v>
          </cell>
          <cell r="G13">
            <v>47.631999999999998</v>
          </cell>
          <cell r="H13">
            <v>5903.9209000000001</v>
          </cell>
        </row>
        <row r="14">
          <cell r="B14" t="str">
            <v>Maitencillo 220</v>
          </cell>
          <cell r="C14">
            <v>0.86799999999999999</v>
          </cell>
          <cell r="D14">
            <v>0.99929999999999997</v>
          </cell>
          <cell r="E14">
            <v>70.162999999999997</v>
          </cell>
          <cell r="F14">
            <v>8.5124999999999993</v>
          </cell>
          <cell r="G14">
            <v>46.392000000000003</v>
          </cell>
          <cell r="H14">
            <v>5628.4650000000001</v>
          </cell>
        </row>
        <row r="15">
          <cell r="B15" t="str">
            <v>Pan de Azucar 220</v>
          </cell>
          <cell r="C15">
            <v>0.99719999999999998</v>
          </cell>
          <cell r="D15">
            <v>0.98319999999999996</v>
          </cell>
          <cell r="E15">
            <v>80.605999999999995</v>
          </cell>
          <cell r="F15">
            <v>8.3754000000000008</v>
          </cell>
          <cell r="G15">
            <v>53.296999999999997</v>
          </cell>
          <cell r="H15">
            <v>5537.8145000000004</v>
          </cell>
        </row>
        <row r="16">
          <cell r="B16" t="str">
            <v>Nogales 220</v>
          </cell>
          <cell r="C16">
            <v>1.0065</v>
          </cell>
          <cell r="D16">
            <v>1.0007999999999999</v>
          </cell>
          <cell r="E16">
            <v>81.358000000000004</v>
          </cell>
          <cell r="F16">
            <v>8.5252999999999997</v>
          </cell>
          <cell r="G16">
            <v>53.793999999999997</v>
          </cell>
          <cell r="H16">
            <v>5636.9283999999998</v>
          </cell>
        </row>
        <row r="17">
          <cell r="B17" t="str">
            <v>Quillota 220</v>
          </cell>
          <cell r="C17">
            <v>1.0222</v>
          </cell>
          <cell r="D17">
            <v>0.99850000000000005</v>
          </cell>
          <cell r="E17">
            <v>82.626999999999995</v>
          </cell>
          <cell r="F17">
            <v>8.5056999999999992</v>
          </cell>
          <cell r="G17">
            <v>54.633000000000003</v>
          </cell>
          <cell r="H17">
            <v>5623.9687999999996</v>
          </cell>
        </row>
        <row r="18">
          <cell r="B18" t="str">
            <v>Los Vilos 220</v>
          </cell>
          <cell r="C18">
            <v>1.0297000000000001</v>
          </cell>
          <cell r="D18">
            <v>1.0121</v>
          </cell>
          <cell r="E18">
            <v>83.233000000000004</v>
          </cell>
          <cell r="F18">
            <v>8.6216000000000008</v>
          </cell>
          <cell r="G18">
            <v>55.033999999999999</v>
          </cell>
          <cell r="H18">
            <v>5700.6018999999997</v>
          </cell>
        </row>
        <row r="19">
          <cell r="B19" t="str">
            <v>Charrua 220</v>
          </cell>
          <cell r="C19">
            <v>0.95189999999999997</v>
          </cell>
          <cell r="D19">
            <v>0.93789999999999996</v>
          </cell>
          <cell r="E19">
            <v>76.944999999999993</v>
          </cell>
          <cell r="F19">
            <v>7.9894999999999996</v>
          </cell>
          <cell r="G19">
            <v>50.875999999999998</v>
          </cell>
          <cell r="H19">
            <v>5282.6574000000001</v>
          </cell>
        </row>
        <row r="20">
          <cell r="B20" t="str">
            <v>Temuco 220</v>
          </cell>
          <cell r="C20">
            <v>0.97760000000000002</v>
          </cell>
          <cell r="D20">
            <v>0.96060000000000001</v>
          </cell>
          <cell r="E20">
            <v>79.022000000000006</v>
          </cell>
          <cell r="F20">
            <v>8.1829000000000001</v>
          </cell>
          <cell r="G20">
            <v>52.249000000000002</v>
          </cell>
          <cell r="H20">
            <v>5410.5334999999995</v>
          </cell>
        </row>
        <row r="21">
          <cell r="B21" t="str">
            <v>Hualpen 220</v>
          </cell>
          <cell r="C21">
            <v>0.9415</v>
          </cell>
          <cell r="D21">
            <v>0.94410000000000005</v>
          </cell>
          <cell r="E21">
            <v>76.103999999999999</v>
          </cell>
          <cell r="F21">
            <v>8.0422999999999991</v>
          </cell>
          <cell r="G21">
            <v>50.32</v>
          </cell>
          <cell r="H21">
            <v>5317.5688</v>
          </cell>
        </row>
        <row r="22">
          <cell r="B22" t="str">
            <v>Lagunillas 220</v>
          </cell>
          <cell r="C22">
            <v>0.93669999999999998</v>
          </cell>
          <cell r="D22">
            <v>0.94889999999999997</v>
          </cell>
          <cell r="E22">
            <v>75.715999999999994</v>
          </cell>
          <cell r="F22">
            <v>8.0831999999999997</v>
          </cell>
          <cell r="G22">
            <v>50.063000000000002</v>
          </cell>
          <cell r="H22">
            <v>5344.6117999999997</v>
          </cell>
        </row>
        <row r="23">
          <cell r="B23" t="str">
            <v>Puerto Montt 220</v>
          </cell>
          <cell r="C23">
            <v>1.1465000000000001</v>
          </cell>
          <cell r="D23">
            <v>1.0512999999999999</v>
          </cell>
          <cell r="E23">
            <v>92.674999999999997</v>
          </cell>
          <cell r="F23">
            <v>8.9555000000000007</v>
          </cell>
          <cell r="G23">
            <v>61.277000000000001</v>
          </cell>
          <cell r="H23">
            <v>5921.3765999999996</v>
          </cell>
        </row>
        <row r="24">
          <cell r="B24" t="str">
            <v>Valdivia 220</v>
          </cell>
          <cell r="C24">
            <v>1.1282000000000001</v>
          </cell>
          <cell r="D24">
            <v>1.0328999999999999</v>
          </cell>
          <cell r="E24">
            <v>91.194999999999993</v>
          </cell>
          <cell r="F24">
            <v>8.7987000000000002</v>
          </cell>
          <cell r="G24">
            <v>60.298000000000002</v>
          </cell>
          <cell r="H24">
            <v>5817.7003999999997</v>
          </cell>
        </row>
        <row r="25">
          <cell r="B25" t="str">
            <v>Los Ciruelos 220</v>
          </cell>
          <cell r="C25">
            <v>1.101</v>
          </cell>
          <cell r="D25">
            <v>1.0179</v>
          </cell>
          <cell r="E25">
            <v>88.997</v>
          </cell>
          <cell r="F25">
            <v>8.6709999999999994</v>
          </cell>
          <cell r="G25">
            <v>58.844999999999999</v>
          </cell>
          <cell r="H25">
            <v>5733.2651999999998</v>
          </cell>
        </row>
        <row r="26">
          <cell r="B26" t="str">
            <v>Barro Blanco 220</v>
          </cell>
          <cell r="C26">
            <v>1.1400999999999999</v>
          </cell>
          <cell r="D26">
            <v>1.0358000000000001</v>
          </cell>
          <cell r="E26">
            <v>92.156999999999996</v>
          </cell>
          <cell r="F26">
            <v>8.8234999999999992</v>
          </cell>
          <cell r="G26">
            <v>60.933999999999997</v>
          </cell>
          <cell r="H26">
            <v>5834.0982000000004</v>
          </cell>
        </row>
        <row r="27">
          <cell r="B27" t="str">
            <v>Ancoa 220</v>
          </cell>
          <cell r="C27">
            <v>0.99329999999999996</v>
          </cell>
          <cell r="D27">
            <v>0.97270000000000001</v>
          </cell>
          <cell r="E27">
            <v>80.290999999999997</v>
          </cell>
          <cell r="F27">
            <v>8.2858999999999998</v>
          </cell>
          <cell r="G27">
            <v>53.088000000000001</v>
          </cell>
          <cell r="H27">
            <v>5478.6370999999999</v>
          </cell>
        </row>
        <row r="28">
          <cell r="B28" t="str">
            <v>Itahue 220</v>
          </cell>
          <cell r="C28">
            <v>1.0016</v>
          </cell>
          <cell r="D28">
            <v>0.99099999999999999</v>
          </cell>
          <cell r="E28">
            <v>80.962000000000003</v>
          </cell>
          <cell r="F28">
            <v>8.4418000000000006</v>
          </cell>
          <cell r="G28">
            <v>53.531999999999996</v>
          </cell>
          <cell r="H28">
            <v>5581.7182000000003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CTIVOS"/>
      <sheetName val="RESULTADOS"/>
      <sheetName val="FACTORES"/>
      <sheetName val="ENERGIA15min"/>
      <sheetName val="POTHP"/>
      <sheetName val="CONTRATOS"/>
      <sheetName val="SALDO"/>
      <sheetName val="DISTCONT"/>
      <sheetName val="DISTPTOSUM"/>
      <sheetName val="PRORRATA"/>
    </sheetNames>
    <sheetDataSet>
      <sheetData sheetId="0">
        <row r="28">
          <cell r="C28">
            <v>30026.345125687913</v>
          </cell>
        </row>
        <row r="32">
          <cell r="C32">
            <v>43212.103623576193</v>
          </cell>
        </row>
        <row r="34">
          <cell r="C34">
            <v>23692.531604357566</v>
          </cell>
        </row>
      </sheetData>
      <sheetData sheetId="1">
        <row r="26">
          <cell r="C26">
            <v>30558.001990000001</v>
          </cell>
          <cell r="F26">
            <v>540820.56325999997</v>
          </cell>
        </row>
        <row r="30">
          <cell r="D30">
            <v>43681.91934</v>
          </cell>
          <cell r="G30">
            <v>778627.03689999995</v>
          </cell>
        </row>
        <row r="32">
          <cell r="E32">
            <v>26158.413949999998</v>
          </cell>
          <cell r="H32">
            <v>424585.6593</v>
          </cell>
          <cell r="L32">
            <v>200</v>
          </cell>
          <cell r="M32">
            <v>3240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G17"/>
  <sheetViews>
    <sheetView showGridLines="0" tabSelected="1" topLeftCell="H1" zoomScale="60" zoomScaleNormal="60" workbookViewId="0">
      <selection activeCell="U59" sqref="U59"/>
    </sheetView>
  </sheetViews>
  <sheetFormatPr defaultColWidth="11.42578125" defaultRowHeight="15" x14ac:dyDescent="0.25"/>
  <cols>
    <col min="1" max="1" width="2.42578125" style="5" customWidth="1"/>
    <col min="2" max="2" width="28.28515625" style="5" customWidth="1"/>
    <col min="3" max="3" width="29" style="14" customWidth="1"/>
    <col min="4" max="4" width="26.85546875" style="14" bestFit="1" customWidth="1"/>
    <col min="5" max="5" width="8.85546875" style="14" customWidth="1"/>
    <col min="6" max="6" width="18.28515625" style="14" customWidth="1"/>
    <col min="7" max="7" width="18.140625" style="5" customWidth="1"/>
    <col min="8" max="8" width="14.5703125" style="5" customWidth="1"/>
    <col min="9" max="9" width="14.7109375" style="5" customWidth="1"/>
    <col min="10" max="10" width="26.5703125" style="5" bestFit="1" customWidth="1"/>
    <col min="11" max="11" width="17" style="5" customWidth="1"/>
    <col min="12" max="12" width="15.85546875" style="5" customWidth="1"/>
    <col min="13" max="13" width="21.7109375" style="14" bestFit="1" customWidth="1"/>
    <col min="14" max="14" width="17.7109375" style="14" bestFit="1" customWidth="1"/>
    <col min="15" max="15" width="16" style="5" customWidth="1"/>
    <col min="16" max="16" width="14.140625" style="5" customWidth="1"/>
    <col min="17" max="18" width="11.42578125" style="5" customWidth="1"/>
    <col min="19" max="19" width="23.5703125" style="5" customWidth="1"/>
    <col min="20" max="20" width="21.7109375" style="5" customWidth="1"/>
    <col min="21" max="21" width="17.42578125" style="5" bestFit="1" customWidth="1"/>
    <col min="22" max="22" width="15.28515625" style="5" customWidth="1"/>
    <col min="23" max="24" width="16.85546875" style="5" bestFit="1" customWidth="1"/>
    <col min="25" max="26" width="18" style="5" bestFit="1" customWidth="1"/>
    <col min="27" max="27" width="18.85546875" style="5" customWidth="1"/>
    <col min="28" max="29" width="11.42578125" style="5"/>
    <col min="30" max="30" width="23.5703125" style="5" bestFit="1" customWidth="1"/>
    <col min="31" max="31" width="21.7109375" style="5" bestFit="1" customWidth="1"/>
    <col min="32" max="32" width="13.5703125" style="5" bestFit="1" customWidth="1"/>
    <col min="33" max="33" width="12" style="5" bestFit="1" customWidth="1"/>
    <col min="34" max="35" width="13.140625" style="5" bestFit="1" customWidth="1"/>
    <col min="36" max="36" width="13" style="5" bestFit="1" customWidth="1"/>
    <col min="37" max="37" width="13.140625" style="5" bestFit="1" customWidth="1"/>
    <col min="38" max="38" width="18.85546875" style="5" customWidth="1"/>
    <col min="39" max="50" width="11.42578125" style="5"/>
    <col min="51" max="51" width="23.5703125" style="5" bestFit="1" customWidth="1"/>
    <col min="52" max="52" width="21.7109375" style="5" bestFit="1" customWidth="1"/>
    <col min="53" max="53" width="13.5703125" style="5" bestFit="1" customWidth="1"/>
    <col min="54" max="54" width="12" style="5" bestFit="1" customWidth="1"/>
    <col min="55" max="55" width="13.85546875" style="5" bestFit="1" customWidth="1"/>
    <col min="56" max="56" width="14.7109375" style="5" bestFit="1" customWidth="1"/>
    <col min="57" max="57" width="13.85546875" style="5" bestFit="1" customWidth="1"/>
    <col min="58" max="58" width="12" style="5" bestFit="1" customWidth="1"/>
    <col min="59" max="59" width="18.85546875" style="5" bestFit="1" customWidth="1"/>
    <col min="60" max="16384" width="11.42578125" style="5"/>
  </cols>
  <sheetData>
    <row r="1" spans="2:59" x14ac:dyDescent="0.25">
      <c r="M1" s="5"/>
      <c r="V1" s="5">
        <v>1000</v>
      </c>
      <c r="Z1" s="25">
        <f>SUM(W2:Y2)</f>
        <v>112433.04438884951</v>
      </c>
    </row>
    <row r="2" spans="2:59" x14ac:dyDescent="0.25">
      <c r="B2" s="4" t="s">
        <v>30</v>
      </c>
      <c r="M2" s="5"/>
      <c r="U2" s="24">
        <f>SUM(U8:U13)</f>
        <v>3.4400000000000004</v>
      </c>
      <c r="V2" s="25">
        <f>SUM(V8:V13)</f>
        <v>1844.43159474</v>
      </c>
      <c r="W2" s="25">
        <f>SUM(W8:W13)</f>
        <v>18232.153616</v>
      </c>
      <c r="X2" s="25">
        <f>SUM(X8:X13)</f>
        <v>94103.959792495894</v>
      </c>
      <c r="Y2" s="25">
        <f>SUM(Y8:Y13)</f>
        <v>96.930980353621678</v>
      </c>
      <c r="Z2" s="25">
        <f>SUM(Z8:Z13)</f>
        <v>112336.1134084959</v>
      </c>
      <c r="AA2" s="25">
        <f>Z1-Z2</f>
        <v>96.930980353601626</v>
      </c>
      <c r="AU2" s="29">
        <f>+SUM(AU8:AU13)</f>
        <v>0</v>
      </c>
    </row>
    <row r="3" spans="2:59" x14ac:dyDescent="0.25">
      <c r="B3" s="4" t="s">
        <v>29</v>
      </c>
      <c r="M3" s="5"/>
    </row>
    <row r="4" spans="2:59" x14ac:dyDescent="0.25">
      <c r="B4" s="4" t="s">
        <v>31</v>
      </c>
      <c r="K4" s="17" t="s">
        <v>38</v>
      </c>
      <c r="L4" s="17"/>
      <c r="M4" s="5"/>
      <c r="S4" s="17" t="s">
        <v>37</v>
      </c>
      <c r="T4" s="17"/>
      <c r="AD4" s="17" t="s">
        <v>44</v>
      </c>
      <c r="AE4" s="17"/>
      <c r="AO4" s="17" t="s">
        <v>45</v>
      </c>
      <c r="AP4" s="17"/>
      <c r="AY4" s="5" t="s">
        <v>46</v>
      </c>
    </row>
    <row r="5" spans="2:59" x14ac:dyDescent="0.25">
      <c r="K5" s="6">
        <v>42948</v>
      </c>
      <c r="L5" s="7"/>
      <c r="M5" s="21"/>
      <c r="N5" s="22"/>
      <c r="O5" s="9"/>
      <c r="P5" s="8"/>
      <c r="S5" s="6">
        <f>+K5</f>
        <v>42948</v>
      </c>
      <c r="T5" s="7"/>
      <c r="U5" s="7"/>
      <c r="V5" s="8"/>
      <c r="W5" s="7"/>
      <c r="X5" s="7"/>
      <c r="Y5" s="7"/>
      <c r="Z5" s="9"/>
      <c r="AA5" s="8"/>
      <c r="AD5" s="6">
        <f>+K5</f>
        <v>42948</v>
      </c>
      <c r="AE5" s="7"/>
      <c r="AF5" s="7"/>
      <c r="AG5" s="8"/>
      <c r="AH5" s="7"/>
      <c r="AI5" s="7"/>
      <c r="AJ5" s="7"/>
      <c r="AK5" s="9"/>
      <c r="AL5" s="8"/>
      <c r="AO5" s="6">
        <f>+AD5</f>
        <v>42948</v>
      </c>
      <c r="AP5" s="7"/>
      <c r="AQ5" s="7"/>
      <c r="AR5" s="8"/>
      <c r="AS5" s="7"/>
      <c r="AT5" s="7"/>
      <c r="AU5" s="9"/>
      <c r="AV5" s="8"/>
      <c r="AY5" s="6">
        <f>+AO5</f>
        <v>42948</v>
      </c>
      <c r="AZ5" s="7"/>
      <c r="BA5" s="7"/>
      <c r="BB5" s="8"/>
      <c r="BC5" s="7"/>
      <c r="BD5" s="7"/>
      <c r="BE5" s="7"/>
      <c r="BF5" s="9"/>
      <c r="BG5" s="8"/>
    </row>
    <row r="6" spans="2:59" x14ac:dyDescent="0.25">
      <c r="B6" s="10" t="s">
        <v>0</v>
      </c>
      <c r="C6" s="1" t="s">
        <v>0</v>
      </c>
      <c r="D6" s="1" t="s">
        <v>4</v>
      </c>
      <c r="E6" s="1" t="s">
        <v>5</v>
      </c>
      <c r="F6" s="20" t="s">
        <v>6</v>
      </c>
      <c r="G6" s="10" t="s">
        <v>7</v>
      </c>
      <c r="H6" s="9" t="s">
        <v>8</v>
      </c>
      <c r="I6" s="8"/>
      <c r="J6" s="10" t="s">
        <v>9</v>
      </c>
      <c r="K6" s="10" t="s">
        <v>10</v>
      </c>
      <c r="L6" s="10" t="s">
        <v>11</v>
      </c>
      <c r="M6" s="1" t="s">
        <v>12</v>
      </c>
      <c r="N6" s="1" t="s">
        <v>13</v>
      </c>
      <c r="O6" s="10" t="s">
        <v>14</v>
      </c>
      <c r="P6" s="10" t="s">
        <v>15</v>
      </c>
      <c r="S6" s="10" t="s">
        <v>10</v>
      </c>
      <c r="T6" s="10" t="s">
        <v>11</v>
      </c>
      <c r="U6" s="10" t="s">
        <v>12</v>
      </c>
      <c r="V6" s="10" t="s">
        <v>13</v>
      </c>
      <c r="W6" s="10" t="s">
        <v>34</v>
      </c>
      <c r="X6" s="10" t="s">
        <v>35</v>
      </c>
      <c r="Y6" s="10" t="s">
        <v>36</v>
      </c>
      <c r="Z6" s="10" t="s">
        <v>14</v>
      </c>
      <c r="AA6" s="10" t="s">
        <v>15</v>
      </c>
      <c r="AD6" s="10" t="s">
        <v>10</v>
      </c>
      <c r="AE6" s="10" t="s">
        <v>11</v>
      </c>
      <c r="AF6" s="10" t="s">
        <v>12</v>
      </c>
      <c r="AG6" s="10" t="s">
        <v>13</v>
      </c>
      <c r="AH6" s="10" t="s">
        <v>34</v>
      </c>
      <c r="AI6" s="10" t="s">
        <v>35</v>
      </c>
      <c r="AJ6" s="10" t="s">
        <v>36</v>
      </c>
      <c r="AK6" s="10" t="s">
        <v>14</v>
      </c>
      <c r="AL6" s="10" t="s">
        <v>15</v>
      </c>
      <c r="AO6" s="10" t="s">
        <v>10</v>
      </c>
      <c r="AP6" s="10" t="s">
        <v>11</v>
      </c>
      <c r="AQ6" s="10" t="s">
        <v>12</v>
      </c>
      <c r="AR6" s="10" t="s">
        <v>13</v>
      </c>
      <c r="AS6" s="10" t="s">
        <v>34</v>
      </c>
      <c r="AT6" s="10" t="s">
        <v>35</v>
      </c>
      <c r="AU6" s="10" t="s">
        <v>14</v>
      </c>
      <c r="AV6" s="10" t="s">
        <v>15</v>
      </c>
      <c r="AY6" s="10" t="s">
        <v>10</v>
      </c>
      <c r="AZ6" s="10" t="s">
        <v>11</v>
      </c>
      <c r="BA6" s="10" t="s">
        <v>12</v>
      </c>
      <c r="BB6" s="10" t="s">
        <v>13</v>
      </c>
      <c r="BC6" s="10" t="s">
        <v>34</v>
      </c>
      <c r="BD6" s="10" t="s">
        <v>35</v>
      </c>
      <c r="BE6" s="10" t="s">
        <v>36</v>
      </c>
      <c r="BF6" s="10" t="s">
        <v>14</v>
      </c>
      <c r="BG6" s="10" t="s">
        <v>15</v>
      </c>
    </row>
    <row r="7" spans="2:59" x14ac:dyDescent="0.25">
      <c r="B7" s="11" t="s">
        <v>17</v>
      </c>
      <c r="C7" s="2" t="s">
        <v>16</v>
      </c>
      <c r="D7" s="2" t="s">
        <v>18</v>
      </c>
      <c r="E7" s="2" t="s">
        <v>19</v>
      </c>
      <c r="F7" s="2" t="s">
        <v>47</v>
      </c>
      <c r="G7" s="11" t="s">
        <v>20</v>
      </c>
      <c r="H7" s="11" t="s">
        <v>1</v>
      </c>
      <c r="I7" s="11" t="s">
        <v>2</v>
      </c>
      <c r="J7" s="11" t="s">
        <v>21</v>
      </c>
      <c r="K7" s="11" t="s">
        <v>22</v>
      </c>
      <c r="L7" s="11" t="s">
        <v>23</v>
      </c>
      <c r="M7" s="2" t="s">
        <v>24</v>
      </c>
      <c r="N7" s="2" t="s">
        <v>25</v>
      </c>
      <c r="O7" s="11" t="s">
        <v>26</v>
      </c>
      <c r="P7" s="11" t="s">
        <v>27</v>
      </c>
      <c r="S7" s="11" t="s">
        <v>22</v>
      </c>
      <c r="T7" s="11" t="s">
        <v>23</v>
      </c>
      <c r="U7" s="11" t="s">
        <v>24</v>
      </c>
      <c r="V7" s="11" t="s">
        <v>25</v>
      </c>
      <c r="W7" s="11" t="s">
        <v>26</v>
      </c>
      <c r="X7" s="11" t="s">
        <v>26</v>
      </c>
      <c r="Y7" s="11" t="s">
        <v>26</v>
      </c>
      <c r="Z7" s="11" t="s">
        <v>26</v>
      </c>
      <c r="AA7" s="11" t="s">
        <v>27</v>
      </c>
      <c r="AD7" s="11" t="s">
        <v>22</v>
      </c>
      <c r="AE7" s="11" t="s">
        <v>23</v>
      </c>
      <c r="AF7" s="11" t="s">
        <v>24</v>
      </c>
      <c r="AG7" s="11" t="s">
        <v>25</v>
      </c>
      <c r="AH7" s="11" t="s">
        <v>26</v>
      </c>
      <c r="AI7" s="11" t="s">
        <v>26</v>
      </c>
      <c r="AJ7" s="11" t="s">
        <v>26</v>
      </c>
      <c r="AK7" s="11" t="s">
        <v>26</v>
      </c>
      <c r="AL7" s="11" t="s">
        <v>27</v>
      </c>
      <c r="AO7" s="11" t="s">
        <v>22</v>
      </c>
      <c r="AP7" s="11" t="s">
        <v>23</v>
      </c>
      <c r="AQ7" s="11" t="s">
        <v>24</v>
      </c>
      <c r="AR7" s="11" t="s">
        <v>25</v>
      </c>
      <c r="AS7" s="11" t="s">
        <v>26</v>
      </c>
      <c r="AT7" s="11" t="s">
        <v>26</v>
      </c>
      <c r="AU7" s="11" t="s">
        <v>26</v>
      </c>
      <c r="AV7" s="11" t="s">
        <v>27</v>
      </c>
      <c r="AY7" s="11" t="s">
        <v>22</v>
      </c>
      <c r="AZ7" s="11" t="s">
        <v>23</v>
      </c>
      <c r="BA7" s="11" t="s">
        <v>24</v>
      </c>
      <c r="BB7" s="11" t="s">
        <v>25</v>
      </c>
      <c r="BC7" s="11" t="s">
        <v>26</v>
      </c>
      <c r="BD7" s="11" t="s">
        <v>26</v>
      </c>
      <c r="BE7" s="11" t="s">
        <v>26</v>
      </c>
      <c r="BF7" s="11" t="s">
        <v>26</v>
      </c>
      <c r="BG7" s="11" t="s">
        <v>27</v>
      </c>
    </row>
    <row r="8" spans="2:59" x14ac:dyDescent="0.25">
      <c r="B8" s="30" t="s">
        <v>32</v>
      </c>
      <c r="C8" s="18" t="s">
        <v>39</v>
      </c>
      <c r="D8" s="18" t="s">
        <v>3</v>
      </c>
      <c r="E8" s="18">
        <v>220</v>
      </c>
      <c r="F8" s="18" t="s">
        <v>33</v>
      </c>
      <c r="G8" s="12" t="s">
        <v>40</v>
      </c>
      <c r="H8" s="13">
        <v>42736</v>
      </c>
      <c r="I8" s="13">
        <v>50040</v>
      </c>
      <c r="J8" s="3" t="str">
        <f t="shared" ref="J8:J13" si="0">+D8</f>
        <v>Charrua 220</v>
      </c>
      <c r="K8" s="15">
        <f t="shared" ref="K8:K13" si="1">+S8</f>
        <v>0</v>
      </c>
      <c r="L8" s="15">
        <f t="shared" ref="L8:L13" si="2">+T8</f>
        <v>50.875999999999998</v>
      </c>
      <c r="M8" s="23">
        <f t="shared" ref="M8:M13" si="3">+U8</f>
        <v>0</v>
      </c>
      <c r="N8" s="23">
        <f t="shared" ref="N8:N13" si="4">+V8</f>
        <v>540.82056325999997</v>
      </c>
      <c r="O8" s="16">
        <f t="shared" ref="O8:O13" si="5">+Z8</f>
        <v>27514.786976415759</v>
      </c>
      <c r="P8" s="16">
        <f t="shared" ref="P8:P13" si="6">+AA8</f>
        <v>50.875999999999998</v>
      </c>
      <c r="S8" s="19">
        <f t="shared" ref="S8:S11" si="7">+IFERROR(W8/U8,0)</f>
        <v>0</v>
      </c>
      <c r="T8" s="19">
        <f>+INDEX([1]Precios!$B$9:$H$28,MATCH($J8,[1]Precios!$B$9:$B$28,0),6)</f>
        <v>50.875999999999998</v>
      </c>
      <c r="U8" s="19">
        <v>0</v>
      </c>
      <c r="V8" s="19">
        <f>([2]RESULTADOS!$F$26)/1000</f>
        <v>540.82056325999997</v>
      </c>
      <c r="W8" s="19">
        <v>0</v>
      </c>
      <c r="X8" s="19">
        <f>+T8*V8</f>
        <v>27514.786976415759</v>
      </c>
      <c r="Y8" s="19">
        <f>+[2]REACTIVOS!$C$28/1000</f>
        <v>30.026345125687911</v>
      </c>
      <c r="Z8" s="19">
        <f t="shared" ref="Z8:Z13" si="8">+S8*U8+T8*V8</f>
        <v>27514.786976415759</v>
      </c>
      <c r="AA8" s="19">
        <f t="shared" ref="AA8:AA13" si="9">+Z8/V8</f>
        <v>50.875999999999998</v>
      </c>
      <c r="AD8" s="15">
        <f>+INDEX([1]Precios!$B$9:$H$28,MATCH($J8,[1]Precios!$B$9:$B$28,0),7)</f>
        <v>5282.6574000000001</v>
      </c>
      <c r="AE8" s="15">
        <f>+INDEX([1]Precios!$B$9:$H$28,MATCH($J8,[1]Precios!$B$9:$B$28,0),6)</f>
        <v>50.875999999999998</v>
      </c>
      <c r="AF8" s="27">
        <f t="shared" ref="AF8:AF13" si="10">+M8</f>
        <v>0</v>
      </c>
      <c r="AG8" s="27">
        <f t="shared" ref="AG8:AG13" si="11">+N8</f>
        <v>540.82056325999997</v>
      </c>
      <c r="AH8" s="27">
        <f t="shared" ref="AH8:AH13" si="12">+AD8*AF8</f>
        <v>0</v>
      </c>
      <c r="AI8" s="27">
        <f t="shared" ref="AI8:AI13" si="13">+AE8*AG8</f>
        <v>27514.786976415759</v>
      </c>
      <c r="AJ8" s="27"/>
      <c r="AK8" s="28">
        <f t="shared" ref="AK8:AK13" si="14">+AD8*AF8+AE8*AG8</f>
        <v>27514.786976415759</v>
      </c>
      <c r="AL8" s="28">
        <f t="shared" ref="AL8:AL13" si="15">+AK8/AG8</f>
        <v>50.875999999999998</v>
      </c>
      <c r="AO8" s="15">
        <f t="shared" ref="AO8:AO13" si="16">+K8-AD8</f>
        <v>-5282.6574000000001</v>
      </c>
      <c r="AP8" s="15">
        <f t="shared" ref="AP8:AP13" si="17">+L8-AE8</f>
        <v>0</v>
      </c>
      <c r="AQ8" s="15">
        <f t="shared" ref="AQ8:AQ13" si="18">+M8-AF8</f>
        <v>0</v>
      </c>
      <c r="AR8" s="15">
        <f t="shared" ref="AR8:AR13" si="19">+N8-AG8</f>
        <v>0</v>
      </c>
      <c r="AS8" s="15">
        <f t="shared" ref="AS8:AS13" si="20">-K8*M8+AD8*AF8</f>
        <v>0</v>
      </c>
      <c r="AT8" s="15">
        <f t="shared" ref="AT8:AT13" si="21">-L8*N8+AE8*AG8</f>
        <v>0</v>
      </c>
      <c r="AU8" s="26">
        <f t="shared" ref="AU8:AU13" si="22">-O8+AK8</f>
        <v>0</v>
      </c>
      <c r="AV8" s="15">
        <f t="shared" ref="AV8:AV13" si="23">+P8-AL8</f>
        <v>0</v>
      </c>
      <c r="AY8" s="15"/>
      <c r="AZ8" s="15"/>
      <c r="BA8" s="15"/>
      <c r="BB8" s="15"/>
      <c r="BC8" s="15"/>
      <c r="BD8" s="15"/>
      <c r="BE8" s="15"/>
      <c r="BF8" s="15"/>
      <c r="BG8" s="15"/>
    </row>
    <row r="9" spans="2:59" x14ac:dyDescent="0.25">
      <c r="B9" s="30" t="s">
        <v>32</v>
      </c>
      <c r="C9" s="18" t="s">
        <v>39</v>
      </c>
      <c r="D9" s="18" t="s">
        <v>28</v>
      </c>
      <c r="E9" s="18">
        <v>220</v>
      </c>
      <c r="F9" s="18" t="s">
        <v>33</v>
      </c>
      <c r="G9" s="12" t="s">
        <v>40</v>
      </c>
      <c r="H9" s="13">
        <v>42736</v>
      </c>
      <c r="I9" s="13">
        <v>50040</v>
      </c>
      <c r="J9" s="3" t="str">
        <f t="shared" si="0"/>
        <v>Itahue 220</v>
      </c>
      <c r="K9" s="15">
        <f t="shared" si="1"/>
        <v>0</v>
      </c>
      <c r="L9" s="15">
        <f t="shared" si="2"/>
        <v>53.531999999999996</v>
      </c>
      <c r="M9" s="23">
        <f t="shared" si="3"/>
        <v>0</v>
      </c>
      <c r="N9" s="23">
        <f t="shared" si="4"/>
        <v>30.558001990000001</v>
      </c>
      <c r="O9" s="16">
        <f t="shared" si="5"/>
        <v>1635.8309625286799</v>
      </c>
      <c r="P9" s="16">
        <f t="shared" si="6"/>
        <v>53.531999999999996</v>
      </c>
      <c r="S9" s="19">
        <f t="shared" si="7"/>
        <v>0</v>
      </c>
      <c r="T9" s="19">
        <f>+INDEX([1]Precios!$B$9:$H$28,MATCH($J9,[1]Precios!$B$9:$B$28,0),6)</f>
        <v>53.531999999999996</v>
      </c>
      <c r="U9" s="19">
        <v>0</v>
      </c>
      <c r="V9" s="19">
        <f>([2]RESULTADOS!$C$26)/1000</f>
        <v>30.558001990000001</v>
      </c>
      <c r="W9" s="19">
        <v>0</v>
      </c>
      <c r="X9" s="19">
        <f>+T9*V9</f>
        <v>1635.8309625286799</v>
      </c>
      <c r="Y9" s="19">
        <v>0</v>
      </c>
      <c r="Z9" s="19">
        <f t="shared" si="8"/>
        <v>1635.8309625286799</v>
      </c>
      <c r="AA9" s="19">
        <f t="shared" si="9"/>
        <v>53.531999999999996</v>
      </c>
      <c r="AD9" s="15">
        <f>+INDEX([1]Precios!$B$9:$H$28,MATCH($J9,[1]Precios!$B$9:$B$28,0),7)</f>
        <v>5581.7182000000003</v>
      </c>
      <c r="AE9" s="15">
        <f>+INDEX([1]Precios!$B$9:$H$28,MATCH($J9,[1]Precios!$B$9:$B$28,0),6)</f>
        <v>53.531999999999996</v>
      </c>
      <c r="AF9" s="27">
        <f t="shared" si="10"/>
        <v>0</v>
      </c>
      <c r="AG9" s="27">
        <f t="shared" si="11"/>
        <v>30.558001990000001</v>
      </c>
      <c r="AH9" s="27">
        <f t="shared" si="12"/>
        <v>0</v>
      </c>
      <c r="AI9" s="27">
        <f t="shared" si="13"/>
        <v>1635.8309625286799</v>
      </c>
      <c r="AJ9" s="27"/>
      <c r="AK9" s="28">
        <f t="shared" si="14"/>
        <v>1635.8309625286799</v>
      </c>
      <c r="AL9" s="28">
        <f t="shared" si="15"/>
        <v>53.531999999999996</v>
      </c>
      <c r="AO9" s="15">
        <f t="shared" si="16"/>
        <v>-5581.7182000000003</v>
      </c>
      <c r="AP9" s="15">
        <f t="shared" si="17"/>
        <v>0</v>
      </c>
      <c r="AQ9" s="15">
        <f t="shared" si="18"/>
        <v>0</v>
      </c>
      <c r="AR9" s="15">
        <f t="shared" si="19"/>
        <v>0</v>
      </c>
      <c r="AS9" s="15">
        <f t="shared" si="20"/>
        <v>0</v>
      </c>
      <c r="AT9" s="15">
        <f t="shared" si="21"/>
        <v>0</v>
      </c>
      <c r="AU9" s="26">
        <f t="shared" si="22"/>
        <v>0</v>
      </c>
      <c r="AV9" s="15">
        <f t="shared" si="23"/>
        <v>0</v>
      </c>
      <c r="AY9" s="15"/>
      <c r="AZ9" s="15"/>
      <c r="BA9" s="15"/>
      <c r="BB9" s="15"/>
      <c r="BC9" s="15"/>
      <c r="BD9" s="15"/>
      <c r="BE9" s="15"/>
      <c r="BF9" s="15"/>
      <c r="BG9" s="15"/>
    </row>
    <row r="10" spans="2:59" x14ac:dyDescent="0.25">
      <c r="B10" s="30" t="s">
        <v>32</v>
      </c>
      <c r="C10" s="18" t="s">
        <v>39</v>
      </c>
      <c r="D10" s="18" t="s">
        <v>3</v>
      </c>
      <c r="E10" s="18">
        <v>220</v>
      </c>
      <c r="F10" s="18" t="s">
        <v>33</v>
      </c>
      <c r="G10" s="12" t="s">
        <v>41</v>
      </c>
      <c r="H10" s="13">
        <v>42736</v>
      </c>
      <c r="I10" s="13">
        <v>50040</v>
      </c>
      <c r="J10" s="3" t="str">
        <f t="shared" si="0"/>
        <v>Charrua 220</v>
      </c>
      <c r="K10" s="15">
        <f t="shared" si="1"/>
        <v>0</v>
      </c>
      <c r="L10" s="15">
        <f t="shared" si="2"/>
        <v>50.875999999999998</v>
      </c>
      <c r="M10" s="23">
        <f t="shared" si="3"/>
        <v>0</v>
      </c>
      <c r="N10" s="23">
        <f t="shared" si="4"/>
        <v>778.62703689999989</v>
      </c>
      <c r="O10" s="16">
        <f t="shared" si="5"/>
        <v>39613.429129324395</v>
      </c>
      <c r="P10" s="16">
        <f t="shared" si="6"/>
        <v>50.875999999999998</v>
      </c>
      <c r="S10" s="19">
        <f t="shared" si="7"/>
        <v>0</v>
      </c>
      <c r="T10" s="19">
        <f>+INDEX([1]Precios!$B$9:$H$28,MATCH($J10,[1]Precios!$B$9:$B$28,0),6)</f>
        <v>50.875999999999998</v>
      </c>
      <c r="U10" s="19">
        <v>0</v>
      </c>
      <c r="V10" s="19">
        <f>([2]RESULTADOS!$G$30)/1000</f>
        <v>778.62703689999989</v>
      </c>
      <c r="W10" s="19">
        <v>0</v>
      </c>
      <c r="X10" s="19">
        <f>+T10*V10</f>
        <v>39613.429129324395</v>
      </c>
      <c r="Y10" s="19">
        <f>+[2]REACTIVOS!$C$32/1000</f>
        <v>43.212103623576191</v>
      </c>
      <c r="Z10" s="19">
        <f t="shared" si="8"/>
        <v>39613.429129324395</v>
      </c>
      <c r="AA10" s="19">
        <f t="shared" si="9"/>
        <v>50.875999999999998</v>
      </c>
      <c r="AD10" s="15">
        <f>+INDEX([1]Precios!$B$9:$H$28,MATCH($J10,[1]Precios!$B$9:$B$28,0),7)</f>
        <v>5282.6574000000001</v>
      </c>
      <c r="AE10" s="15">
        <f>+INDEX([1]Precios!$B$9:$H$28,MATCH($J10,[1]Precios!$B$9:$B$28,0),6)</f>
        <v>50.875999999999998</v>
      </c>
      <c r="AF10" s="27">
        <f t="shared" si="10"/>
        <v>0</v>
      </c>
      <c r="AG10" s="27">
        <f t="shared" si="11"/>
        <v>778.62703689999989</v>
      </c>
      <c r="AH10" s="27">
        <f t="shared" si="12"/>
        <v>0</v>
      </c>
      <c r="AI10" s="27">
        <f t="shared" si="13"/>
        <v>39613.429129324395</v>
      </c>
      <c r="AJ10" s="27"/>
      <c r="AK10" s="28">
        <f t="shared" si="14"/>
        <v>39613.429129324395</v>
      </c>
      <c r="AL10" s="28">
        <f t="shared" si="15"/>
        <v>50.875999999999998</v>
      </c>
      <c r="AO10" s="15">
        <f t="shared" si="16"/>
        <v>-5282.6574000000001</v>
      </c>
      <c r="AP10" s="15">
        <f t="shared" si="17"/>
        <v>0</v>
      </c>
      <c r="AQ10" s="15">
        <f t="shared" si="18"/>
        <v>0</v>
      </c>
      <c r="AR10" s="15">
        <f t="shared" si="19"/>
        <v>0</v>
      </c>
      <c r="AS10" s="15">
        <f t="shared" si="20"/>
        <v>0</v>
      </c>
      <c r="AT10" s="15">
        <f t="shared" si="21"/>
        <v>0</v>
      </c>
      <c r="AU10" s="26">
        <f t="shared" si="22"/>
        <v>0</v>
      </c>
      <c r="AV10" s="15">
        <f t="shared" si="23"/>
        <v>0</v>
      </c>
      <c r="AY10" s="15"/>
      <c r="AZ10" s="15"/>
      <c r="BA10" s="15"/>
      <c r="BB10" s="15"/>
      <c r="BC10" s="15"/>
      <c r="BD10" s="15"/>
      <c r="BE10" s="15"/>
      <c r="BF10" s="15"/>
      <c r="BG10" s="15"/>
    </row>
    <row r="11" spans="2:59" x14ac:dyDescent="0.25">
      <c r="B11" s="30" t="s">
        <v>32</v>
      </c>
      <c r="C11" s="18" t="s">
        <v>39</v>
      </c>
      <c r="D11" s="18" t="s">
        <v>28</v>
      </c>
      <c r="E11" s="18">
        <v>220</v>
      </c>
      <c r="F11" s="18" t="s">
        <v>33</v>
      </c>
      <c r="G11" s="12" t="s">
        <v>41</v>
      </c>
      <c r="H11" s="13">
        <v>42736</v>
      </c>
      <c r="I11" s="13">
        <v>50040</v>
      </c>
      <c r="J11" s="3" t="str">
        <f t="shared" si="0"/>
        <v>Itahue 220</v>
      </c>
      <c r="K11" s="15">
        <f t="shared" si="1"/>
        <v>0</v>
      </c>
      <c r="L11" s="15">
        <f t="shared" si="2"/>
        <v>53.531999999999996</v>
      </c>
      <c r="M11" s="23">
        <f t="shared" si="3"/>
        <v>0</v>
      </c>
      <c r="N11" s="23">
        <f t="shared" si="4"/>
        <v>43.68191934</v>
      </c>
      <c r="O11" s="16">
        <f t="shared" si="5"/>
        <v>2338.3805061088797</v>
      </c>
      <c r="P11" s="16">
        <f t="shared" si="6"/>
        <v>53.531999999999989</v>
      </c>
      <c r="S11" s="19">
        <f t="shared" si="7"/>
        <v>0</v>
      </c>
      <c r="T11" s="19">
        <f>+INDEX([1]Precios!$B$9:$H$28,MATCH($J11,[1]Precios!$B$9:$B$28,0),6)</f>
        <v>53.531999999999996</v>
      </c>
      <c r="U11" s="19">
        <v>0</v>
      </c>
      <c r="V11" s="19">
        <f>([2]RESULTADOS!$D$30)/1000</f>
        <v>43.68191934</v>
      </c>
      <c r="W11" s="19">
        <v>0</v>
      </c>
      <c r="X11" s="19">
        <f>+T11*V11</f>
        <v>2338.3805061088797</v>
      </c>
      <c r="Y11" s="19">
        <v>0</v>
      </c>
      <c r="Z11" s="19">
        <f t="shared" si="8"/>
        <v>2338.3805061088797</v>
      </c>
      <c r="AA11" s="19">
        <f t="shared" si="9"/>
        <v>53.531999999999989</v>
      </c>
      <c r="AD11" s="15">
        <f>+INDEX([1]Precios!$B$9:$H$28,MATCH($J11,[1]Precios!$B$9:$B$28,0),7)</f>
        <v>5581.7182000000003</v>
      </c>
      <c r="AE11" s="15">
        <f>+INDEX([1]Precios!$B$9:$H$28,MATCH($J11,[1]Precios!$B$9:$B$28,0),6)</f>
        <v>53.531999999999996</v>
      </c>
      <c r="AF11" s="27">
        <f t="shared" si="10"/>
        <v>0</v>
      </c>
      <c r="AG11" s="27">
        <f t="shared" si="11"/>
        <v>43.68191934</v>
      </c>
      <c r="AH11" s="27">
        <f t="shared" si="12"/>
        <v>0</v>
      </c>
      <c r="AI11" s="27">
        <f t="shared" si="13"/>
        <v>2338.3805061088797</v>
      </c>
      <c r="AJ11" s="27"/>
      <c r="AK11" s="28">
        <f t="shared" si="14"/>
        <v>2338.3805061088797</v>
      </c>
      <c r="AL11" s="28">
        <f t="shared" si="15"/>
        <v>53.531999999999989</v>
      </c>
      <c r="AO11" s="15">
        <f t="shared" si="16"/>
        <v>-5581.7182000000003</v>
      </c>
      <c r="AP11" s="15">
        <f t="shared" si="17"/>
        <v>0</v>
      </c>
      <c r="AQ11" s="15">
        <f t="shared" si="18"/>
        <v>0</v>
      </c>
      <c r="AR11" s="15">
        <f t="shared" si="19"/>
        <v>0</v>
      </c>
      <c r="AS11" s="15">
        <f t="shared" si="20"/>
        <v>0</v>
      </c>
      <c r="AT11" s="15">
        <f t="shared" si="21"/>
        <v>0</v>
      </c>
      <c r="AU11" s="26">
        <f t="shared" si="22"/>
        <v>0</v>
      </c>
      <c r="AV11" s="15">
        <f t="shared" si="23"/>
        <v>0</v>
      </c>
      <c r="AY11" s="15"/>
      <c r="AZ11" s="15"/>
      <c r="BA11" s="15"/>
      <c r="BB11" s="15"/>
      <c r="BC11" s="15"/>
      <c r="BD11" s="15"/>
      <c r="BE11" s="15"/>
      <c r="BF11" s="15"/>
      <c r="BG11" s="15"/>
    </row>
    <row r="12" spans="2:59" x14ac:dyDescent="0.25">
      <c r="B12" s="30" t="s">
        <v>32</v>
      </c>
      <c r="C12" s="18" t="s">
        <v>39</v>
      </c>
      <c r="D12" s="18" t="s">
        <v>3</v>
      </c>
      <c r="E12" s="18">
        <v>220</v>
      </c>
      <c r="F12" s="18" t="s">
        <v>33</v>
      </c>
      <c r="G12" s="12" t="s">
        <v>42</v>
      </c>
      <c r="H12" s="13">
        <v>42736</v>
      </c>
      <c r="I12" s="13">
        <v>50040</v>
      </c>
      <c r="J12" s="3" t="str">
        <f t="shared" si="0"/>
        <v>Charrua 220</v>
      </c>
      <c r="K12" s="15">
        <f t="shared" si="1"/>
        <v>5282.6574000000001</v>
      </c>
      <c r="L12" s="15">
        <f t="shared" si="2"/>
        <v>50.875999999999998</v>
      </c>
      <c r="M12" s="23">
        <f t="shared" si="3"/>
        <v>3.24</v>
      </c>
      <c r="N12" s="23">
        <f t="shared" si="4"/>
        <v>424.58565929999997</v>
      </c>
      <c r="O12" s="16">
        <f t="shared" si="5"/>
        <v>38717.029978546794</v>
      </c>
      <c r="P12" s="16">
        <f t="shared" si="6"/>
        <v>91.187794807715022</v>
      </c>
      <c r="S12" s="19">
        <f>+INDEX([1]Precios!$B$9:$H$28,MATCH($J12,[1]Precios!$B$9:$B$25,0),7)</f>
        <v>5282.6574000000001</v>
      </c>
      <c r="T12" s="19">
        <f>+INDEX([1]Precios!$B$9:$H$28,MATCH($J12,[1]Precios!$B$9:$B$28,0),6)</f>
        <v>50.875999999999998</v>
      </c>
      <c r="U12" s="19">
        <f>([2]RESULTADOS!$M$32)/1000</f>
        <v>3.24</v>
      </c>
      <c r="V12" s="19">
        <f>([2]RESULTADOS!$H$32)/1000</f>
        <v>424.58565929999997</v>
      </c>
      <c r="W12" s="19">
        <f>+S12*U12</f>
        <v>17115.809976</v>
      </c>
      <c r="X12" s="19">
        <f t="shared" ref="X12:X13" si="24">+T12*V12</f>
        <v>21601.220002546797</v>
      </c>
      <c r="Y12" s="19">
        <f>+[2]REACTIVOS!$C$34/1000</f>
        <v>23.692531604357566</v>
      </c>
      <c r="Z12" s="19">
        <f t="shared" si="8"/>
        <v>38717.029978546794</v>
      </c>
      <c r="AA12" s="19">
        <f t="shared" si="9"/>
        <v>91.187794807715022</v>
      </c>
      <c r="AD12" s="15">
        <f>+INDEX([1]Precios!$B$9:$H$28,MATCH($J12,[1]Precios!$B$9:$B$28,0),7)</f>
        <v>5282.6574000000001</v>
      </c>
      <c r="AE12" s="15">
        <f>+INDEX([1]Precios!$B$9:$H$28,MATCH($J12,[1]Precios!$B$9:$B$28,0),6)</f>
        <v>50.875999999999998</v>
      </c>
      <c r="AF12" s="27">
        <f t="shared" si="10"/>
        <v>3.24</v>
      </c>
      <c r="AG12" s="27">
        <f t="shared" si="11"/>
        <v>424.58565929999997</v>
      </c>
      <c r="AH12" s="27">
        <f t="shared" si="12"/>
        <v>17115.809976</v>
      </c>
      <c r="AI12" s="27">
        <f t="shared" si="13"/>
        <v>21601.220002546797</v>
      </c>
      <c r="AJ12" s="27"/>
      <c r="AK12" s="28">
        <f t="shared" si="14"/>
        <v>38717.029978546794</v>
      </c>
      <c r="AL12" s="28">
        <f t="shared" si="15"/>
        <v>91.187794807715022</v>
      </c>
      <c r="AO12" s="15">
        <f t="shared" si="16"/>
        <v>0</v>
      </c>
      <c r="AP12" s="15">
        <f t="shared" si="17"/>
        <v>0</v>
      </c>
      <c r="AQ12" s="15">
        <f t="shared" si="18"/>
        <v>0</v>
      </c>
      <c r="AR12" s="15">
        <f t="shared" si="19"/>
        <v>0</v>
      </c>
      <c r="AS12" s="15">
        <f t="shared" si="20"/>
        <v>0</v>
      </c>
      <c r="AT12" s="15">
        <f t="shared" si="21"/>
        <v>0</v>
      </c>
      <c r="AU12" s="26">
        <f t="shared" si="22"/>
        <v>0</v>
      </c>
      <c r="AV12" s="15">
        <f t="shared" si="23"/>
        <v>0</v>
      </c>
      <c r="AY12" s="15"/>
      <c r="AZ12" s="15"/>
      <c r="BA12" s="15"/>
      <c r="BB12" s="15"/>
      <c r="BC12" s="15"/>
      <c r="BD12" s="15"/>
      <c r="BE12" s="15"/>
      <c r="BF12" s="15"/>
      <c r="BG12" s="15"/>
    </row>
    <row r="13" spans="2:59" x14ac:dyDescent="0.25">
      <c r="B13" s="30" t="s">
        <v>32</v>
      </c>
      <c r="C13" s="18" t="s">
        <v>39</v>
      </c>
      <c r="D13" s="18" t="s">
        <v>28</v>
      </c>
      <c r="E13" s="18">
        <v>220</v>
      </c>
      <c r="F13" s="18" t="s">
        <v>33</v>
      </c>
      <c r="G13" s="12" t="s">
        <v>42</v>
      </c>
      <c r="H13" s="13">
        <v>42736</v>
      </c>
      <c r="I13" s="13">
        <v>50040</v>
      </c>
      <c r="J13" s="3" t="str">
        <f t="shared" si="0"/>
        <v>Itahue 220</v>
      </c>
      <c r="K13" s="15">
        <f t="shared" si="1"/>
        <v>5581.7182000000003</v>
      </c>
      <c r="L13" s="15">
        <f t="shared" si="2"/>
        <v>53.531999999999996</v>
      </c>
      <c r="M13" s="23">
        <f t="shared" si="3"/>
        <v>0.2</v>
      </c>
      <c r="N13" s="23">
        <f t="shared" si="4"/>
        <v>26.15841395</v>
      </c>
      <c r="O13" s="16">
        <f t="shared" si="5"/>
        <v>2516.6558555714</v>
      </c>
      <c r="P13" s="16">
        <f t="shared" si="6"/>
        <v>96.208273956586737</v>
      </c>
      <c r="S13" s="19">
        <f>+INDEX([1]Precios!$B$9:$H$28,MATCH($J13,[1]Precios!$B$9:$B$28,0),7)</f>
        <v>5581.7182000000003</v>
      </c>
      <c r="T13" s="19">
        <f>+INDEX([1]Precios!$B$9:$H$28,MATCH($J13,[1]Precios!$B$9:$B$28,0),6)</f>
        <v>53.531999999999996</v>
      </c>
      <c r="U13" s="19">
        <f>([2]RESULTADOS!$L$32)/1000</f>
        <v>0.2</v>
      </c>
      <c r="V13" s="19">
        <f>([2]RESULTADOS!$E$32)/1000</f>
        <v>26.15841395</v>
      </c>
      <c r="W13" s="19">
        <f>+S13*U13</f>
        <v>1116.3436400000001</v>
      </c>
      <c r="X13" s="19">
        <f t="shared" si="24"/>
        <v>1400.3122155714</v>
      </c>
      <c r="Y13" s="19">
        <v>0</v>
      </c>
      <c r="Z13" s="19">
        <f t="shared" si="8"/>
        <v>2516.6558555714</v>
      </c>
      <c r="AA13" s="19">
        <f t="shared" si="9"/>
        <v>96.208273956586737</v>
      </c>
      <c r="AD13" s="15">
        <f>+INDEX([1]Precios!$B$9:$H$28,MATCH($J13,[1]Precios!$B$9:$B$28,0),7)</f>
        <v>5581.7182000000003</v>
      </c>
      <c r="AE13" s="15">
        <f>+INDEX([1]Precios!$B$9:$H$28,MATCH($J13,[1]Precios!$B$9:$B$28,0),6)</f>
        <v>53.531999999999996</v>
      </c>
      <c r="AF13" s="27">
        <f t="shared" si="10"/>
        <v>0.2</v>
      </c>
      <c r="AG13" s="27">
        <f t="shared" si="11"/>
        <v>26.15841395</v>
      </c>
      <c r="AH13" s="27">
        <f t="shared" si="12"/>
        <v>1116.3436400000001</v>
      </c>
      <c r="AI13" s="27">
        <f t="shared" si="13"/>
        <v>1400.3122155714</v>
      </c>
      <c r="AJ13" s="27"/>
      <c r="AK13" s="28">
        <f t="shared" si="14"/>
        <v>2516.6558555714</v>
      </c>
      <c r="AL13" s="28">
        <f t="shared" si="15"/>
        <v>96.208273956586737</v>
      </c>
      <c r="AO13" s="15">
        <f t="shared" si="16"/>
        <v>0</v>
      </c>
      <c r="AP13" s="15">
        <f t="shared" si="17"/>
        <v>0</v>
      </c>
      <c r="AQ13" s="15">
        <f t="shared" si="18"/>
        <v>0</v>
      </c>
      <c r="AR13" s="15">
        <f t="shared" si="19"/>
        <v>0</v>
      </c>
      <c r="AS13" s="15">
        <f t="shared" si="20"/>
        <v>0</v>
      </c>
      <c r="AT13" s="15">
        <f t="shared" si="21"/>
        <v>0</v>
      </c>
      <c r="AU13" s="26">
        <f t="shared" si="22"/>
        <v>0</v>
      </c>
      <c r="AV13" s="15">
        <f t="shared" si="23"/>
        <v>0</v>
      </c>
      <c r="AY13" s="15"/>
      <c r="AZ13" s="15"/>
      <c r="BA13" s="15"/>
      <c r="BB13" s="15"/>
      <c r="BC13" s="15"/>
      <c r="BD13" s="15"/>
      <c r="BE13" s="15"/>
      <c r="BF13" s="15"/>
      <c r="BG13" s="15"/>
    </row>
    <row r="15" spans="2:59" x14ac:dyDescent="0.25">
      <c r="U15" s="31" t="s">
        <v>48</v>
      </c>
      <c r="V15" s="32" t="s">
        <v>49</v>
      </c>
      <c r="W15" s="33">
        <f>+SUM(W8:W13)*1000</f>
        <v>18232153.616</v>
      </c>
      <c r="X15" s="33">
        <f t="shared" ref="X15:Y15" si="25">+SUM(X8:X13)*1000</f>
        <v>94103959.792495891</v>
      </c>
      <c r="Y15" s="34">
        <f t="shared" si="25"/>
        <v>96930.980353621679</v>
      </c>
    </row>
    <row r="17" spans="21:25" x14ac:dyDescent="0.25">
      <c r="U17" s="31" t="s">
        <v>43</v>
      </c>
      <c r="V17" s="32"/>
      <c r="W17" s="32"/>
      <c r="X17" s="32"/>
      <c r="Y17" s="35">
        <f>+SUM(W15:Y15)</f>
        <v>112433044.38884951</v>
      </c>
    </row>
  </sheetData>
  <autoFilter ref="B7:BG13"/>
  <conditionalFormatting sqref="AU8:AU13">
    <cfRule type="cellIs" dxfId="1" priority="1" operator="greaterThan">
      <formula>0</formula>
    </cfRule>
    <cfRule type="cellIs" dxfId="0" priority="2" operator="lessThan">
      <formula>0</formula>
    </cfRule>
  </conditionalFormatting>
  <hyperlinks>
    <hyperlink ref="B4" location="Cuadro3!B4" display="Mensual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Tabla N°3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Marcos Cisterna</cp:lastModifiedBy>
  <cp:lastPrinted>2010-04-30T19:11:28Z</cp:lastPrinted>
  <dcterms:created xsi:type="dcterms:W3CDTF">2002-08-26T22:02:26Z</dcterms:created>
  <dcterms:modified xsi:type="dcterms:W3CDTF">2017-11-17T15:19:50Z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