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9_sep\"/>
    </mc:Choice>
  </mc:AlternateContent>
  <bookViews>
    <workbookView xWindow="0" yWindow="0" windowWidth="19200" windowHeight="7305" firstSheet="1" activeTab="3"/>
  </bookViews>
  <sheets>
    <sheet name="Tabla N°1" sheetId="1" r:id="rId1"/>
    <sheet name="Tabla N°2" sheetId="8" r:id="rId2"/>
    <sheet name="Sheet2" sheetId="14" r:id="rId3"/>
    <sheet name="Tabla N°3" sheetId="12" r:id="rId4"/>
    <sheet name="Comprobaciones" sheetId="1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3" hidden="1">'Tabla N°3'!$B$7:$BG$124</definedName>
    <definedName name="_xlnm.Print_Area" localSheetId="0">'Tabla N°1'!$A$1:$S$34</definedName>
  </definedNames>
  <calcPr calcId="162913"/>
  <pivotCaches>
    <pivotCache cacheId="3" r:id="rId23"/>
  </pivotCaches>
</workbook>
</file>

<file path=xl/calcChain.xml><?xml version="1.0" encoding="utf-8"?>
<calcChain xmlns="http://schemas.openxmlformats.org/spreadsheetml/2006/main">
  <c r="T103" i="12" l="1"/>
  <c r="S103" i="12"/>
  <c r="T102" i="12"/>
  <c r="S102" i="12"/>
  <c r="T101" i="12"/>
  <c r="S101" i="12"/>
  <c r="T100" i="12"/>
  <c r="S100" i="12"/>
  <c r="T99" i="12"/>
  <c r="S99" i="12"/>
  <c r="T98" i="12"/>
  <c r="S98" i="12"/>
  <c r="Y109" i="12" l="1"/>
  <c r="Y102" i="12" l="1"/>
  <c r="Y100" i="12"/>
  <c r="Y98" i="12"/>
  <c r="V109" i="12" l="1"/>
  <c r="U109" i="12"/>
  <c r="S109" i="12"/>
  <c r="V108" i="12"/>
  <c r="U108" i="12"/>
  <c r="S108" i="12"/>
  <c r="V107" i="12"/>
  <c r="V106" i="12"/>
  <c r="V105" i="12"/>
  <c r="T105" i="12"/>
  <c r="V104" i="12"/>
  <c r="T104" i="12"/>
  <c r="BD89" i="12" l="1"/>
  <c r="BD80" i="12"/>
  <c r="E16" i="13"/>
  <c r="E15" i="13"/>
  <c r="Y97" i="12"/>
  <c r="X97" i="12"/>
  <c r="W97" i="12"/>
  <c r="V97" i="12"/>
  <c r="U97" i="12"/>
  <c r="Y96" i="12"/>
  <c r="X96" i="12"/>
  <c r="W96" i="12"/>
  <c r="V96" i="12"/>
  <c r="U96" i="12"/>
  <c r="Y95" i="12"/>
  <c r="X95" i="12"/>
  <c r="W95" i="12"/>
  <c r="V95" i="12"/>
  <c r="U95" i="12"/>
  <c r="Y94" i="12"/>
  <c r="X94" i="12"/>
  <c r="W94" i="12"/>
  <c r="V94" i="12"/>
  <c r="U94" i="12"/>
  <c r="Y93" i="12"/>
  <c r="X93" i="12"/>
  <c r="W93" i="12"/>
  <c r="V93" i="12"/>
  <c r="U93" i="12"/>
  <c r="Y92" i="12"/>
  <c r="X92" i="12"/>
  <c r="W92" i="12"/>
  <c r="V92" i="12"/>
  <c r="U92" i="12"/>
  <c r="Y91" i="12"/>
  <c r="X91" i="12"/>
  <c r="W91" i="12"/>
  <c r="V91" i="12"/>
  <c r="U91" i="12"/>
  <c r="Y90" i="12"/>
  <c r="X90" i="12"/>
  <c r="W90" i="12"/>
  <c r="V90" i="12"/>
  <c r="U90" i="12"/>
  <c r="Y89" i="12"/>
  <c r="X89" i="12"/>
  <c r="W89" i="12"/>
  <c r="V89" i="12"/>
  <c r="U89" i="12"/>
  <c r="Y88" i="12"/>
  <c r="X88" i="12"/>
  <c r="W88" i="12"/>
  <c r="V88" i="12"/>
  <c r="U88" i="12"/>
  <c r="Y87" i="12"/>
  <c r="X87" i="12"/>
  <c r="W87" i="12"/>
  <c r="V87" i="12"/>
  <c r="U87" i="12"/>
  <c r="Y86" i="12"/>
  <c r="X86" i="12"/>
  <c r="W86" i="12"/>
  <c r="V86" i="12"/>
  <c r="U86" i="12"/>
  <c r="Y85" i="12"/>
  <c r="X85" i="12"/>
  <c r="W85" i="12"/>
  <c r="V85" i="12"/>
  <c r="U85" i="12"/>
  <c r="Y84" i="12"/>
  <c r="X84" i="12"/>
  <c r="W84" i="12"/>
  <c r="V84" i="12"/>
  <c r="U84" i="12"/>
  <c r="Y83" i="12"/>
  <c r="X83" i="12"/>
  <c r="W83" i="12"/>
  <c r="V83" i="12"/>
  <c r="U83" i="12"/>
  <c r="Y82" i="12"/>
  <c r="X82" i="12"/>
  <c r="W82" i="12"/>
  <c r="V82" i="12"/>
  <c r="U82" i="12"/>
  <c r="Y81" i="12"/>
  <c r="X81" i="12"/>
  <c r="W81" i="12"/>
  <c r="V81" i="12"/>
  <c r="U81" i="12"/>
  <c r="Y80" i="12"/>
  <c r="X80" i="12"/>
  <c r="W80" i="12"/>
  <c r="V80" i="12"/>
  <c r="U80" i="12"/>
  <c r="E20" i="13" l="1"/>
  <c r="V124" i="12"/>
  <c r="U124" i="12"/>
  <c r="S124" i="12"/>
  <c r="V123" i="12"/>
  <c r="U123" i="12"/>
  <c r="S123" i="12"/>
  <c r="V122" i="12"/>
  <c r="V121" i="12"/>
  <c r="V120" i="12"/>
  <c r="T120" i="12"/>
  <c r="V119" i="12"/>
  <c r="T119" i="12"/>
  <c r="BE19" i="12"/>
  <c r="BD19" i="12"/>
  <c r="BC19" i="12"/>
  <c r="BD8" i="12"/>
  <c r="E9" i="13"/>
  <c r="E8" i="13"/>
  <c r="Y22" i="12"/>
  <c r="X22" i="12"/>
  <c r="W22" i="12"/>
  <c r="V22" i="12"/>
  <c r="U22" i="12"/>
  <c r="Y21" i="12"/>
  <c r="X21" i="12"/>
  <c r="W21" i="12"/>
  <c r="V21" i="12"/>
  <c r="U21" i="12"/>
  <c r="Y20" i="12"/>
  <c r="X20" i="12"/>
  <c r="W20" i="12"/>
  <c r="V20" i="12"/>
  <c r="U20" i="12"/>
  <c r="Y19" i="12"/>
  <c r="X19" i="12"/>
  <c r="W19" i="12"/>
  <c r="V19" i="12"/>
  <c r="U19" i="12"/>
  <c r="Y18" i="12"/>
  <c r="X18" i="12"/>
  <c r="W18" i="12"/>
  <c r="V18" i="12"/>
  <c r="U18" i="12"/>
  <c r="Y17" i="12"/>
  <c r="X17" i="12"/>
  <c r="W17" i="12"/>
  <c r="V17" i="12"/>
  <c r="U17" i="12"/>
  <c r="Y16" i="12"/>
  <c r="X16" i="12"/>
  <c r="W16" i="12"/>
  <c r="V16" i="12"/>
  <c r="U16" i="12"/>
  <c r="Y15" i="12"/>
  <c r="X15" i="12"/>
  <c r="W15" i="12"/>
  <c r="V15" i="12"/>
  <c r="U15" i="12"/>
  <c r="Y14" i="12"/>
  <c r="X14" i="12"/>
  <c r="W14" i="12"/>
  <c r="V14" i="12"/>
  <c r="U14" i="12"/>
  <c r="Y13" i="12"/>
  <c r="X13" i="12"/>
  <c r="W13" i="12"/>
  <c r="V13" i="12"/>
  <c r="U13" i="12"/>
  <c r="Y12" i="12"/>
  <c r="X12" i="12"/>
  <c r="W12" i="12"/>
  <c r="V12" i="12"/>
  <c r="U12" i="12"/>
  <c r="Y11" i="12"/>
  <c r="X11" i="12"/>
  <c r="W11" i="12"/>
  <c r="V11" i="12"/>
  <c r="U11" i="12"/>
  <c r="Y10" i="12"/>
  <c r="X10" i="12"/>
  <c r="W10" i="12"/>
  <c r="V10" i="12"/>
  <c r="U10" i="12"/>
  <c r="Y9" i="12"/>
  <c r="X9" i="12"/>
  <c r="W9" i="12"/>
  <c r="V9" i="12"/>
  <c r="U9" i="12"/>
  <c r="Y8" i="12"/>
  <c r="X8" i="12"/>
  <c r="W8" i="12"/>
  <c r="V8" i="12"/>
  <c r="U8" i="12"/>
  <c r="BB79" i="12"/>
  <c r="BB78" i="12"/>
  <c r="BA78" i="12"/>
  <c r="BB77" i="12"/>
  <c r="BB76" i="12"/>
  <c r="BB75" i="12"/>
  <c r="BB74" i="12"/>
  <c r="V79" i="12"/>
  <c r="U79" i="12"/>
  <c r="V78" i="12"/>
  <c r="U78" i="12"/>
  <c r="V77" i="12"/>
  <c r="V76" i="12"/>
  <c r="V75" i="12"/>
  <c r="V74" i="12"/>
  <c r="E12" i="13"/>
  <c r="Y61" i="12"/>
  <c r="X61" i="12"/>
  <c r="W61" i="12"/>
  <c r="V61" i="12"/>
  <c r="U61" i="12"/>
  <c r="X60" i="12"/>
  <c r="W60" i="12"/>
  <c r="V60" i="12"/>
  <c r="U60" i="12"/>
  <c r="Y59" i="12"/>
  <c r="X59" i="12"/>
  <c r="V59" i="12"/>
  <c r="X58" i="12"/>
  <c r="V58" i="12"/>
  <c r="Y57" i="12"/>
  <c r="X57" i="12"/>
  <c r="V57" i="12"/>
  <c r="X56" i="12"/>
  <c r="V56" i="12"/>
  <c r="E19" i="13"/>
  <c r="Y118" i="12"/>
  <c r="X118" i="12"/>
  <c r="W118" i="12"/>
  <c r="V118" i="12"/>
  <c r="U118" i="12"/>
  <c r="Y117" i="12"/>
  <c r="X117" i="12"/>
  <c r="W117" i="12"/>
  <c r="V117" i="12"/>
  <c r="U117" i="12"/>
  <c r="Y116" i="12"/>
  <c r="X116" i="12"/>
  <c r="W116" i="12"/>
  <c r="V116" i="12"/>
  <c r="U116" i="12"/>
  <c r="Y115" i="12"/>
  <c r="X115" i="12"/>
  <c r="W115" i="12"/>
  <c r="V115" i="12"/>
  <c r="U115" i="12"/>
  <c r="Y114" i="12"/>
  <c r="X114" i="12"/>
  <c r="W114" i="12"/>
  <c r="V114" i="12"/>
  <c r="U114" i="12"/>
  <c r="Y113" i="12"/>
  <c r="X113" i="12"/>
  <c r="W113" i="12"/>
  <c r="V113" i="12"/>
  <c r="U113" i="12"/>
  <c r="Y112" i="12"/>
  <c r="X112" i="12"/>
  <c r="W112" i="12"/>
  <c r="V112" i="12"/>
  <c r="U112" i="12"/>
  <c r="Y111" i="12"/>
  <c r="X111" i="12"/>
  <c r="W111" i="12"/>
  <c r="V111" i="12"/>
  <c r="U111" i="12"/>
  <c r="Y110" i="12"/>
  <c r="X110" i="12"/>
  <c r="W110" i="12"/>
  <c r="V110" i="12"/>
  <c r="U110" i="12"/>
  <c r="E13" i="13"/>
  <c r="Y73" i="12"/>
  <c r="X73" i="12"/>
  <c r="W73" i="12"/>
  <c r="V73" i="12"/>
  <c r="U73" i="12"/>
  <c r="Y72" i="12"/>
  <c r="X72" i="12"/>
  <c r="W72" i="12"/>
  <c r="V72" i="12"/>
  <c r="U72" i="12"/>
  <c r="Y71" i="12"/>
  <c r="X71" i="12"/>
  <c r="W71" i="12"/>
  <c r="V71" i="12"/>
  <c r="U71" i="12"/>
  <c r="Y70" i="12"/>
  <c r="X70" i="12"/>
  <c r="W70" i="12"/>
  <c r="V70" i="12"/>
  <c r="U70" i="12"/>
  <c r="Y69" i="12"/>
  <c r="X69" i="12"/>
  <c r="W69" i="12"/>
  <c r="V69" i="12"/>
  <c r="U69" i="12"/>
  <c r="Y68" i="12"/>
  <c r="X68" i="12"/>
  <c r="W68" i="12"/>
  <c r="V68" i="12"/>
  <c r="U68" i="12"/>
  <c r="Y67" i="12"/>
  <c r="X67" i="12"/>
  <c r="W67" i="12"/>
  <c r="V67" i="12"/>
  <c r="U67" i="12"/>
  <c r="Y66" i="12"/>
  <c r="X66" i="12"/>
  <c r="W66" i="12"/>
  <c r="V66" i="12"/>
  <c r="U66" i="12"/>
  <c r="Y65" i="12"/>
  <c r="X65" i="12"/>
  <c r="W65" i="12"/>
  <c r="V65" i="12"/>
  <c r="U65" i="12"/>
  <c r="Y64" i="12"/>
  <c r="X64" i="12"/>
  <c r="W64" i="12"/>
  <c r="V64" i="12"/>
  <c r="U64" i="12"/>
  <c r="Y63" i="12"/>
  <c r="X63" i="12"/>
  <c r="W63" i="12"/>
  <c r="V63" i="12"/>
  <c r="U63" i="12"/>
  <c r="Y62" i="12"/>
  <c r="X62" i="12"/>
  <c r="W62" i="12"/>
  <c r="V62" i="12"/>
  <c r="U62" i="12"/>
  <c r="E11" i="13"/>
  <c r="Y55" i="12"/>
  <c r="X55" i="12"/>
  <c r="W55" i="12"/>
  <c r="V55" i="12"/>
  <c r="U55" i="12"/>
  <c r="Y54" i="12"/>
  <c r="X54" i="12"/>
  <c r="W54" i="12"/>
  <c r="V54" i="12"/>
  <c r="U54" i="12"/>
  <c r="Y53" i="12"/>
  <c r="X53" i="12"/>
  <c r="W53" i="12"/>
  <c r="V53" i="12"/>
  <c r="U53" i="12"/>
  <c r="Y52" i="12"/>
  <c r="X52" i="12"/>
  <c r="W52" i="12"/>
  <c r="V52" i="12"/>
  <c r="U52" i="12"/>
  <c r="Y51" i="12"/>
  <c r="X51" i="12"/>
  <c r="W51" i="12"/>
  <c r="V51" i="12"/>
  <c r="U51" i="12"/>
  <c r="Y50" i="12"/>
  <c r="X50" i="12"/>
  <c r="W50" i="12"/>
  <c r="V50" i="12"/>
  <c r="U50" i="12"/>
  <c r="Y49" i="12"/>
  <c r="X49" i="12"/>
  <c r="W49" i="12"/>
  <c r="V49" i="12"/>
  <c r="U49" i="12"/>
  <c r="Y48" i="12"/>
  <c r="X48" i="12"/>
  <c r="W48" i="12"/>
  <c r="V48" i="12"/>
  <c r="U48" i="12"/>
  <c r="Y47" i="12"/>
  <c r="X47" i="12"/>
  <c r="W47" i="12"/>
  <c r="V47" i="12"/>
  <c r="U47" i="12"/>
  <c r="Y46" i="12"/>
  <c r="X46" i="12"/>
  <c r="W46" i="12"/>
  <c r="V46" i="12"/>
  <c r="U46" i="12"/>
  <c r="Y45" i="12"/>
  <c r="X45" i="12"/>
  <c r="W45" i="12"/>
  <c r="V45" i="12"/>
  <c r="U45" i="12"/>
  <c r="Y44" i="12"/>
  <c r="X44" i="12"/>
  <c r="W44" i="12"/>
  <c r="V44" i="12"/>
  <c r="U44" i="12"/>
  <c r="Y43" i="12"/>
  <c r="X43" i="12"/>
  <c r="W43" i="12"/>
  <c r="V43" i="12"/>
  <c r="U43" i="12"/>
  <c r="Y42" i="12"/>
  <c r="X42" i="12"/>
  <c r="W42" i="12"/>
  <c r="V42" i="12"/>
  <c r="U42" i="12"/>
  <c r="Y41" i="12"/>
  <c r="X41" i="12"/>
  <c r="W41" i="12"/>
  <c r="V41" i="12"/>
  <c r="U41" i="12"/>
  <c r="Y40" i="12"/>
  <c r="X40" i="12"/>
  <c r="W40" i="12"/>
  <c r="V40" i="12"/>
  <c r="U40" i="12"/>
  <c r="Y39" i="12"/>
  <c r="X39" i="12"/>
  <c r="W39" i="12"/>
  <c r="V39" i="12"/>
  <c r="U39" i="12"/>
  <c r="Y38" i="12"/>
  <c r="X38" i="12"/>
  <c r="W38" i="12"/>
  <c r="V38" i="12"/>
  <c r="U38" i="12"/>
  <c r="BE26" i="12"/>
  <c r="BD26" i="12"/>
  <c r="BC26" i="12"/>
  <c r="E10" i="13"/>
  <c r="Y37" i="12"/>
  <c r="X37" i="12"/>
  <c r="W37" i="12"/>
  <c r="V37" i="12"/>
  <c r="U37" i="12"/>
  <c r="Y36" i="12"/>
  <c r="X36" i="12"/>
  <c r="W36" i="12"/>
  <c r="V36" i="12"/>
  <c r="U36" i="12"/>
  <c r="Y35" i="12"/>
  <c r="X35" i="12"/>
  <c r="W35" i="12"/>
  <c r="V35" i="12"/>
  <c r="U35" i="12"/>
  <c r="Y34" i="12"/>
  <c r="X34" i="12"/>
  <c r="W34" i="12"/>
  <c r="V34" i="12"/>
  <c r="U34" i="12"/>
  <c r="Y33" i="12"/>
  <c r="X33" i="12"/>
  <c r="W33" i="12"/>
  <c r="V33" i="12"/>
  <c r="U33" i="12"/>
  <c r="Y32" i="12"/>
  <c r="X32" i="12"/>
  <c r="W32" i="12"/>
  <c r="V32" i="12"/>
  <c r="U32" i="12"/>
  <c r="Y31" i="12"/>
  <c r="X31" i="12"/>
  <c r="W31" i="12"/>
  <c r="V31" i="12"/>
  <c r="U31" i="12"/>
  <c r="Y30" i="12"/>
  <c r="X30" i="12"/>
  <c r="W30" i="12"/>
  <c r="V30" i="12"/>
  <c r="U30" i="12"/>
  <c r="Y29" i="12"/>
  <c r="X29" i="12"/>
  <c r="W29" i="12"/>
  <c r="V29" i="12"/>
  <c r="U29" i="12"/>
  <c r="Y28" i="12"/>
  <c r="X28" i="12"/>
  <c r="W28" i="12"/>
  <c r="V28" i="12"/>
  <c r="U28" i="12"/>
  <c r="Y27" i="12"/>
  <c r="X27" i="12"/>
  <c r="W27" i="12"/>
  <c r="V27" i="12"/>
  <c r="U27" i="12"/>
  <c r="Y26" i="12"/>
  <c r="X26" i="12"/>
  <c r="W26" i="12"/>
  <c r="V26" i="12"/>
  <c r="U26" i="12"/>
  <c r="Y25" i="12"/>
  <c r="X25" i="12"/>
  <c r="W25" i="12"/>
  <c r="V25" i="12"/>
  <c r="U25" i="12"/>
  <c r="Y24" i="12"/>
  <c r="X24" i="12"/>
  <c r="W24" i="12"/>
  <c r="V24" i="12"/>
  <c r="U24" i="12"/>
  <c r="Y23" i="12"/>
  <c r="X23" i="12"/>
  <c r="W23" i="12"/>
  <c r="V23" i="12"/>
  <c r="U23" i="12"/>
  <c r="V103" i="12"/>
  <c r="U103" i="12"/>
  <c r="V102" i="12"/>
  <c r="U102" i="12"/>
  <c r="V101" i="12"/>
  <c r="V100" i="12"/>
  <c r="V99" i="12"/>
  <c r="V98" i="12"/>
  <c r="S77" i="12" l="1"/>
  <c r="S76" i="12"/>
  <c r="S75" i="12"/>
  <c r="S74" i="12"/>
  <c r="BF26" i="12" l="1"/>
  <c r="J75" i="12"/>
  <c r="J76" i="12"/>
  <c r="J77" i="12"/>
  <c r="J78" i="12"/>
  <c r="J79" i="12"/>
  <c r="J74" i="12"/>
  <c r="J8" i="12"/>
  <c r="N8" i="12"/>
  <c r="J9" i="12"/>
  <c r="M9" i="12"/>
  <c r="J10" i="12"/>
  <c r="M10" i="12"/>
  <c r="AF10" i="12" s="1"/>
  <c r="AQ10" i="12" s="1"/>
  <c r="J11" i="12"/>
  <c r="N11" i="12"/>
  <c r="AG11" i="12" s="1"/>
  <c r="J12" i="12"/>
  <c r="M12" i="12"/>
  <c r="N12" i="12"/>
  <c r="AG12" i="12" s="1"/>
  <c r="J13" i="12"/>
  <c r="M13" i="12"/>
  <c r="AF13" i="12" s="1"/>
  <c r="N13" i="12"/>
  <c r="AG13" i="12" s="1"/>
  <c r="J14" i="12"/>
  <c r="M14" i="12"/>
  <c r="AF14" i="12" s="1"/>
  <c r="N14" i="12"/>
  <c r="AG14" i="12" s="1"/>
  <c r="AR14" i="12" s="1"/>
  <c r="J15" i="12"/>
  <c r="M15" i="12"/>
  <c r="N15" i="12"/>
  <c r="J16" i="12"/>
  <c r="M16" i="12"/>
  <c r="N16" i="12"/>
  <c r="AG16" i="12" s="1"/>
  <c r="J17" i="12"/>
  <c r="M17" i="12"/>
  <c r="AF17" i="12" s="1"/>
  <c r="AQ17" i="12" s="1"/>
  <c r="N17" i="12"/>
  <c r="J18" i="12"/>
  <c r="M18" i="12"/>
  <c r="AF18" i="12" s="1"/>
  <c r="N18" i="12"/>
  <c r="J19" i="12"/>
  <c r="M19" i="12"/>
  <c r="N19" i="12"/>
  <c r="AG19" i="12" s="1"/>
  <c r="J20" i="12"/>
  <c r="M20" i="12"/>
  <c r="N20" i="12"/>
  <c r="AG20" i="12" s="1"/>
  <c r="J21" i="12"/>
  <c r="M21" i="12"/>
  <c r="AF21" i="12" s="1"/>
  <c r="N21" i="12"/>
  <c r="AG21" i="12" s="1"/>
  <c r="J22" i="12"/>
  <c r="M22" i="12"/>
  <c r="N22" i="12"/>
  <c r="AG22" i="12" s="1"/>
  <c r="S22" i="12"/>
  <c r="K22" i="12" s="1"/>
  <c r="T22" i="12"/>
  <c r="L22" i="12" s="1"/>
  <c r="J23" i="12"/>
  <c r="N23" i="12"/>
  <c r="AG23" i="12" s="1"/>
  <c r="AR23" i="12" s="1"/>
  <c r="J24" i="12"/>
  <c r="M24" i="12"/>
  <c r="N24" i="12"/>
  <c r="J25" i="12"/>
  <c r="M25" i="12"/>
  <c r="AF25" i="12" s="1"/>
  <c r="N25" i="12"/>
  <c r="J26" i="12"/>
  <c r="M26" i="12"/>
  <c r="AF26" i="12" s="1"/>
  <c r="N26" i="12"/>
  <c r="AG26" i="12" s="1"/>
  <c r="J27" i="12"/>
  <c r="M27" i="12"/>
  <c r="N27" i="12"/>
  <c r="AG27" i="12" s="1"/>
  <c r="S27" i="12"/>
  <c r="J28" i="12"/>
  <c r="M28" i="12"/>
  <c r="N28" i="12"/>
  <c r="J29" i="12"/>
  <c r="M29" i="12"/>
  <c r="AF29" i="12" s="1"/>
  <c r="N29" i="12"/>
  <c r="AG29" i="12" s="1"/>
  <c r="J30" i="12"/>
  <c r="M30" i="12"/>
  <c r="AF30" i="12" s="1"/>
  <c r="N30" i="12"/>
  <c r="AG30" i="12" s="1"/>
  <c r="J31" i="12"/>
  <c r="M31" i="12"/>
  <c r="N31" i="12"/>
  <c r="AG31" i="12" s="1"/>
  <c r="AR31" i="12" s="1"/>
  <c r="J32" i="12"/>
  <c r="M32" i="12"/>
  <c r="N32" i="12"/>
  <c r="J33" i="12"/>
  <c r="M33" i="12"/>
  <c r="AF33" i="12" s="1"/>
  <c r="N33" i="12"/>
  <c r="AG33" i="12" s="1"/>
  <c r="J34" i="12"/>
  <c r="M34" i="12"/>
  <c r="AF34" i="12" s="1"/>
  <c r="N34" i="12"/>
  <c r="AG34" i="12" s="1"/>
  <c r="S34" i="12"/>
  <c r="K34" i="12" s="1"/>
  <c r="J35" i="12"/>
  <c r="M35" i="12"/>
  <c r="N35" i="12"/>
  <c r="AG35" i="12" s="1"/>
  <c r="J36" i="12"/>
  <c r="M36" i="12"/>
  <c r="N36" i="12"/>
  <c r="AG36" i="12" s="1"/>
  <c r="S36" i="12"/>
  <c r="T36" i="12"/>
  <c r="L36" i="12" s="1"/>
  <c r="J37" i="12"/>
  <c r="M37" i="12"/>
  <c r="AF37" i="12" s="1"/>
  <c r="N37" i="12"/>
  <c r="AG37" i="12" s="1"/>
  <c r="J38" i="12"/>
  <c r="N38" i="12"/>
  <c r="T38" i="12"/>
  <c r="L38" i="12" s="1"/>
  <c r="J39" i="12"/>
  <c r="M39" i="12"/>
  <c r="N39" i="12"/>
  <c r="AG39" i="12" s="1"/>
  <c r="J40" i="12"/>
  <c r="M40" i="12"/>
  <c r="AF40" i="12" s="1"/>
  <c r="N40" i="12"/>
  <c r="T40" i="12"/>
  <c r="L40" i="12" s="1"/>
  <c r="J41" i="12"/>
  <c r="M41" i="12"/>
  <c r="N41" i="12"/>
  <c r="S41" i="12"/>
  <c r="K41" i="12" s="1"/>
  <c r="J42" i="12"/>
  <c r="M42" i="12"/>
  <c r="AF42" i="12" s="1"/>
  <c r="N42" i="12"/>
  <c r="AG42" i="12" s="1"/>
  <c r="S42" i="12"/>
  <c r="K42" i="12" s="1"/>
  <c r="J43" i="12"/>
  <c r="M43" i="12"/>
  <c r="AF43" i="12" s="1"/>
  <c r="N43" i="12"/>
  <c r="AG43" i="12" s="1"/>
  <c r="J44" i="12"/>
  <c r="M44" i="12"/>
  <c r="AF44" i="12" s="1"/>
  <c r="N44" i="12"/>
  <c r="T44" i="12"/>
  <c r="L44" i="12" s="1"/>
  <c r="J45" i="12"/>
  <c r="M45" i="12"/>
  <c r="N45" i="12"/>
  <c r="S45" i="12"/>
  <c r="K45" i="12" s="1"/>
  <c r="T45" i="12"/>
  <c r="L45" i="12" s="1"/>
  <c r="J46" i="12"/>
  <c r="M46" i="12"/>
  <c r="N46" i="12"/>
  <c r="S46" i="12"/>
  <c r="K46" i="12" s="1"/>
  <c r="J47" i="12"/>
  <c r="M47" i="12"/>
  <c r="AF47" i="12" s="1"/>
  <c r="AQ47" i="12" s="1"/>
  <c r="N47" i="12"/>
  <c r="AG47" i="12" s="1"/>
  <c r="T47" i="12"/>
  <c r="L47" i="12" s="1"/>
  <c r="J48" i="12"/>
  <c r="M48" i="12"/>
  <c r="AF48" i="12" s="1"/>
  <c r="N48" i="12"/>
  <c r="AG48" i="12" s="1"/>
  <c r="S48" i="12"/>
  <c r="K48" i="12" s="1"/>
  <c r="J49" i="12"/>
  <c r="M49" i="12"/>
  <c r="N49" i="12"/>
  <c r="AG49" i="12" s="1"/>
  <c r="S49" i="12"/>
  <c r="K49" i="12" s="1"/>
  <c r="J50" i="12"/>
  <c r="M50" i="12"/>
  <c r="AF50" i="12" s="1"/>
  <c r="N50" i="12"/>
  <c r="S50" i="12"/>
  <c r="K50" i="12" s="1"/>
  <c r="J51" i="12"/>
  <c r="M51" i="12"/>
  <c r="N51" i="12"/>
  <c r="AG51" i="12" s="1"/>
  <c r="AR51" i="12" s="1"/>
  <c r="S51" i="12"/>
  <c r="K51" i="12" s="1"/>
  <c r="J52" i="12"/>
  <c r="M52" i="12"/>
  <c r="AF52" i="12" s="1"/>
  <c r="N52" i="12"/>
  <c r="AG52" i="12" s="1"/>
  <c r="J53" i="12"/>
  <c r="M53" i="12"/>
  <c r="AF53" i="12" s="1"/>
  <c r="N53" i="12"/>
  <c r="AG53" i="12" s="1"/>
  <c r="S53" i="12"/>
  <c r="K53" i="12" s="1"/>
  <c r="J54" i="12"/>
  <c r="N54" i="12"/>
  <c r="AG54" i="12" s="1"/>
  <c r="T54" i="12"/>
  <c r="L54" i="12" s="1"/>
  <c r="J55" i="12"/>
  <c r="M55" i="12"/>
  <c r="AF55" i="12" s="1"/>
  <c r="N55" i="12"/>
  <c r="AG55" i="12" s="1"/>
  <c r="J56" i="12"/>
  <c r="N56" i="12"/>
  <c r="AG56" i="12" s="1"/>
  <c r="M56" i="12"/>
  <c r="AF56" i="12" s="1"/>
  <c r="S56" i="12"/>
  <c r="K56" i="12" s="1"/>
  <c r="J57" i="12"/>
  <c r="N57" i="12"/>
  <c r="M57" i="12"/>
  <c r="AF57" i="12" s="1"/>
  <c r="AQ57" i="12" s="1"/>
  <c r="T57" i="12"/>
  <c r="L57" i="12" s="1"/>
  <c r="S57" i="12"/>
  <c r="K57" i="12" s="1"/>
  <c r="J58" i="12"/>
  <c r="N58" i="12"/>
  <c r="AG58" i="12" s="1"/>
  <c r="AR58" i="12" s="1"/>
  <c r="M58" i="12"/>
  <c r="AF58" i="12" s="1"/>
  <c r="S58" i="12"/>
  <c r="K58" i="12" s="1"/>
  <c r="J59" i="12"/>
  <c r="N59" i="12"/>
  <c r="AG59" i="12" s="1"/>
  <c r="AR59" i="12" s="1"/>
  <c r="M59" i="12"/>
  <c r="AF59" i="12" s="1"/>
  <c r="AQ59" i="12" s="1"/>
  <c r="T59" i="12"/>
  <c r="L59" i="12" s="1"/>
  <c r="S59" i="12"/>
  <c r="K59" i="12" s="1"/>
  <c r="J60" i="12"/>
  <c r="N60" i="12"/>
  <c r="AG60" i="12" s="1"/>
  <c r="T60" i="12"/>
  <c r="L60" i="12" s="1"/>
  <c r="J61" i="12"/>
  <c r="M61" i="12"/>
  <c r="AF61" i="12" s="1"/>
  <c r="N61" i="12"/>
  <c r="AG61" i="12" s="1"/>
  <c r="S61" i="12"/>
  <c r="K61" i="12" s="1"/>
  <c r="J62" i="12"/>
  <c r="J63" i="12"/>
  <c r="M63" i="12"/>
  <c r="AF63" i="12" s="1"/>
  <c r="AQ63" i="12" s="1"/>
  <c r="N63" i="12"/>
  <c r="J64" i="12"/>
  <c r="M64" i="12"/>
  <c r="N64" i="12"/>
  <c r="AG64" i="12" s="1"/>
  <c r="AR64" i="12" s="1"/>
  <c r="T64" i="12"/>
  <c r="L64" i="12" s="1"/>
  <c r="J65" i="12"/>
  <c r="N65" i="12"/>
  <c r="AG65" i="12" s="1"/>
  <c r="T65" i="12"/>
  <c r="L65" i="12" s="1"/>
  <c r="J66" i="12"/>
  <c r="M66" i="12"/>
  <c r="AF66" i="12" s="1"/>
  <c r="S66" i="12"/>
  <c r="K66" i="12" s="1"/>
  <c r="J67" i="12"/>
  <c r="M67" i="12"/>
  <c r="AF67" i="12" s="1"/>
  <c r="N67" i="12"/>
  <c r="AG67" i="12" s="1"/>
  <c r="J68" i="12"/>
  <c r="M68" i="12"/>
  <c r="N68" i="12"/>
  <c r="AG68" i="12" s="1"/>
  <c r="T68" i="12"/>
  <c r="L68" i="12" s="1"/>
  <c r="J69" i="12"/>
  <c r="M69" i="12"/>
  <c r="N69" i="12"/>
  <c r="AG69" i="12" s="1"/>
  <c r="T69" i="12"/>
  <c r="L69" i="12" s="1"/>
  <c r="J70" i="12"/>
  <c r="M70" i="12"/>
  <c r="N70" i="12"/>
  <c r="AG70" i="12" s="1"/>
  <c r="AR70" i="12" s="1"/>
  <c r="S70" i="12"/>
  <c r="K70" i="12" s="1"/>
  <c r="J71" i="12"/>
  <c r="N71" i="12"/>
  <c r="J72" i="12"/>
  <c r="M72" i="12"/>
  <c r="N72" i="12"/>
  <c r="AG72" i="12" s="1"/>
  <c r="S72" i="12"/>
  <c r="K72" i="12" s="1"/>
  <c r="T72" i="12"/>
  <c r="L72" i="12" s="1"/>
  <c r="J73" i="12"/>
  <c r="M73" i="12"/>
  <c r="AF73" i="12" s="1"/>
  <c r="N73" i="12"/>
  <c r="AG73" i="12" s="1"/>
  <c r="N74" i="12"/>
  <c r="AG74" i="12" s="1"/>
  <c r="M74" i="12"/>
  <c r="AF74" i="12" s="1"/>
  <c r="N75" i="12"/>
  <c r="AG75" i="12" s="1"/>
  <c r="M75" i="12"/>
  <c r="AF75" i="12" s="1"/>
  <c r="M76" i="12"/>
  <c r="N77" i="12"/>
  <c r="AG77" i="12" s="1"/>
  <c r="K77" i="12"/>
  <c r="M77" i="12"/>
  <c r="AF77" i="12" s="1"/>
  <c r="N78" i="12"/>
  <c r="M79" i="12"/>
  <c r="AF79" i="12" s="1"/>
  <c r="N79" i="12"/>
  <c r="J80" i="12"/>
  <c r="M80" i="12"/>
  <c r="AF80" i="12" s="1"/>
  <c r="N80" i="12"/>
  <c r="AG80" i="12" s="1"/>
  <c r="S80" i="12"/>
  <c r="K80" i="12" s="1"/>
  <c r="T80" i="12"/>
  <c r="L80" i="12" s="1"/>
  <c r="J81" i="12"/>
  <c r="M81" i="12"/>
  <c r="N81" i="12"/>
  <c r="S81" i="12"/>
  <c r="K81" i="12" s="1"/>
  <c r="J82" i="12"/>
  <c r="N82" i="12"/>
  <c r="T82" i="12"/>
  <c r="L82" i="12" s="1"/>
  <c r="J83" i="12"/>
  <c r="M83" i="12"/>
  <c r="N83" i="12"/>
  <c r="AG83" i="12" s="1"/>
  <c r="AR83" i="12" s="1"/>
  <c r="S83" i="12"/>
  <c r="K83" i="12" s="1"/>
  <c r="J84" i="12"/>
  <c r="M84" i="12"/>
  <c r="AF84" i="12" s="1"/>
  <c r="N84" i="12"/>
  <c r="J85" i="12"/>
  <c r="M85" i="12"/>
  <c r="AF85" i="12" s="1"/>
  <c r="N85" i="12"/>
  <c r="AG85" i="12" s="1"/>
  <c r="S85" i="12"/>
  <c r="K85" i="12" s="1"/>
  <c r="T85" i="12"/>
  <c r="L85" i="12" s="1"/>
  <c r="J86" i="12"/>
  <c r="M86" i="12"/>
  <c r="AF86" i="12" s="1"/>
  <c r="N86" i="12"/>
  <c r="AG86" i="12" s="1"/>
  <c r="J87" i="12"/>
  <c r="M87" i="12"/>
  <c r="N87" i="12"/>
  <c r="AG87" i="12" s="1"/>
  <c r="S87" i="12"/>
  <c r="K87" i="12" s="1"/>
  <c r="J88" i="12"/>
  <c r="M88" i="12"/>
  <c r="AF88" i="12" s="1"/>
  <c r="AQ88" i="12" s="1"/>
  <c r="N88" i="12"/>
  <c r="J89" i="12"/>
  <c r="M89" i="12"/>
  <c r="AF89" i="12" s="1"/>
  <c r="AQ89" i="12" s="1"/>
  <c r="N89" i="12"/>
  <c r="AG89" i="12" s="1"/>
  <c r="AR89" i="12" s="1"/>
  <c r="J90" i="12"/>
  <c r="M90" i="12"/>
  <c r="AF90" i="12" s="1"/>
  <c r="AQ90" i="12" s="1"/>
  <c r="N90" i="12"/>
  <c r="T90" i="12"/>
  <c r="L90" i="12" s="1"/>
  <c r="J91" i="12"/>
  <c r="M91" i="12"/>
  <c r="N91" i="12"/>
  <c r="S91" i="12"/>
  <c r="K91" i="12" s="1"/>
  <c r="T91" i="12"/>
  <c r="L91" i="12" s="1"/>
  <c r="J92" i="12"/>
  <c r="M92" i="12"/>
  <c r="AF92" i="12" s="1"/>
  <c r="N92" i="12"/>
  <c r="S92" i="12"/>
  <c r="K92" i="12" s="1"/>
  <c r="J93" i="12"/>
  <c r="M93" i="12"/>
  <c r="N93" i="12"/>
  <c r="S93" i="12"/>
  <c r="K93" i="12" s="1"/>
  <c r="T93" i="12"/>
  <c r="L93" i="12" s="1"/>
  <c r="J94" i="12"/>
  <c r="M94" i="12"/>
  <c r="AF94" i="12" s="1"/>
  <c r="N94" i="12"/>
  <c r="AG94" i="12" s="1"/>
  <c r="AR94" i="12" s="1"/>
  <c r="S94" i="12"/>
  <c r="K94" i="12" s="1"/>
  <c r="T94" i="12"/>
  <c r="L94" i="12" s="1"/>
  <c r="J95" i="12"/>
  <c r="M95" i="12"/>
  <c r="AF95" i="12" s="1"/>
  <c r="N95" i="12"/>
  <c r="AG95" i="12" s="1"/>
  <c r="S95" i="12"/>
  <c r="K95" i="12" s="1"/>
  <c r="T95" i="12"/>
  <c r="L95" i="12" s="1"/>
  <c r="J96" i="12"/>
  <c r="M96" i="12"/>
  <c r="AF96" i="12" s="1"/>
  <c r="AQ96" i="12" s="1"/>
  <c r="N96" i="12"/>
  <c r="S96" i="12"/>
  <c r="J97" i="12"/>
  <c r="M97" i="12"/>
  <c r="AF97" i="12" s="1"/>
  <c r="N97" i="12"/>
  <c r="AG97" i="12" s="1"/>
  <c r="S97" i="12"/>
  <c r="K97" i="12" s="1"/>
  <c r="T97" i="12"/>
  <c r="L97" i="12" s="1"/>
  <c r="J98" i="12"/>
  <c r="M98" i="12"/>
  <c r="AF98" i="12" s="1"/>
  <c r="AQ98" i="12" s="1"/>
  <c r="J99" i="12"/>
  <c r="N99" i="12"/>
  <c r="AG99" i="12" s="1"/>
  <c r="M99" i="12"/>
  <c r="J100" i="12"/>
  <c r="N100" i="12"/>
  <c r="K100" i="12"/>
  <c r="M100" i="12"/>
  <c r="J101" i="12"/>
  <c r="N101" i="12"/>
  <c r="M101" i="12"/>
  <c r="AF101" i="12" s="1"/>
  <c r="J102" i="12"/>
  <c r="N102" i="12"/>
  <c r="AG102" i="12" s="1"/>
  <c r="AR102" i="12" s="1"/>
  <c r="J103" i="12"/>
  <c r="M103" i="12"/>
  <c r="N103" i="12"/>
  <c r="J104" i="12"/>
  <c r="M104" i="12"/>
  <c r="AF104" i="12" s="1"/>
  <c r="S104" i="12"/>
  <c r="K104" i="12" s="1"/>
  <c r="J105" i="12"/>
  <c r="N105" i="12"/>
  <c r="M105" i="12"/>
  <c r="AF105" i="12" s="1"/>
  <c r="AQ105" i="12" s="1"/>
  <c r="T107" i="12"/>
  <c r="S105" i="12"/>
  <c r="J106" i="12"/>
  <c r="N106" i="12"/>
  <c r="M106" i="12"/>
  <c r="AF106" i="12" s="1"/>
  <c r="AQ106" i="12" s="1"/>
  <c r="S106" i="12"/>
  <c r="J107" i="12"/>
  <c r="N107" i="12"/>
  <c r="M107" i="12"/>
  <c r="AF107" i="12" s="1"/>
  <c r="AQ107" i="12" s="1"/>
  <c r="S107" i="12"/>
  <c r="J108" i="12"/>
  <c r="N108" i="12"/>
  <c r="J109" i="12"/>
  <c r="M109" i="12"/>
  <c r="N109" i="12"/>
  <c r="K109" i="12"/>
  <c r="J110" i="12"/>
  <c r="M110" i="12"/>
  <c r="S110" i="12"/>
  <c r="J111" i="12"/>
  <c r="M111" i="12"/>
  <c r="AF111" i="12" s="1"/>
  <c r="N111" i="12"/>
  <c r="J112" i="12"/>
  <c r="M112" i="12"/>
  <c r="AF112" i="12" s="1"/>
  <c r="N112" i="12"/>
  <c r="T112" i="12"/>
  <c r="L112" i="12" s="1"/>
  <c r="J113" i="12"/>
  <c r="M113" i="12"/>
  <c r="AF113" i="12" s="1"/>
  <c r="N113" i="12"/>
  <c r="AG113" i="12" s="1"/>
  <c r="J114" i="12"/>
  <c r="M114" i="12"/>
  <c r="AF114" i="12" s="1"/>
  <c r="N114" i="12"/>
  <c r="J115" i="12"/>
  <c r="M115" i="12"/>
  <c r="N115" i="12"/>
  <c r="AG115" i="12" s="1"/>
  <c r="T115" i="12"/>
  <c r="L115" i="12" s="1"/>
  <c r="J116" i="12"/>
  <c r="M116" i="12"/>
  <c r="N116" i="12"/>
  <c r="S116" i="12"/>
  <c r="K116" i="12" s="1"/>
  <c r="J117" i="12"/>
  <c r="M117" i="12"/>
  <c r="AF117" i="12" s="1"/>
  <c r="N117" i="12"/>
  <c r="AG117" i="12" s="1"/>
  <c r="AR117" i="12" s="1"/>
  <c r="S117" i="12"/>
  <c r="J118" i="12"/>
  <c r="M118" i="12"/>
  <c r="AF118" i="12" s="1"/>
  <c r="AQ118" i="12" s="1"/>
  <c r="N118" i="12"/>
  <c r="T118" i="12"/>
  <c r="L118" i="12" s="1"/>
  <c r="J119" i="12"/>
  <c r="M119" i="12"/>
  <c r="AF119" i="12" s="1"/>
  <c r="T121" i="12"/>
  <c r="S119" i="12"/>
  <c r="Z119" i="12" s="1"/>
  <c r="J120" i="12"/>
  <c r="N120" i="12"/>
  <c r="M120" i="12"/>
  <c r="L120" i="12"/>
  <c r="S120" i="12"/>
  <c r="K120" i="12" s="1"/>
  <c r="J121" i="12"/>
  <c r="N121" i="12"/>
  <c r="M121" i="12"/>
  <c r="AF121" i="12" s="1"/>
  <c r="S121" i="12"/>
  <c r="J122" i="12"/>
  <c r="N122" i="12"/>
  <c r="AG122" i="12" s="1"/>
  <c r="M122" i="12"/>
  <c r="AF122" i="12" s="1"/>
  <c r="T122" i="12"/>
  <c r="L122" i="12" s="1"/>
  <c r="S122" i="12"/>
  <c r="J123" i="12"/>
  <c r="N123" i="12"/>
  <c r="J124" i="12"/>
  <c r="M124" i="12"/>
  <c r="N124" i="12"/>
  <c r="AG124" i="12" s="1"/>
  <c r="K124" i="12"/>
  <c r="K98" i="12"/>
  <c r="K99" i="12"/>
  <c r="L105" i="12"/>
  <c r="K108" i="12"/>
  <c r="AQ40" i="12"/>
  <c r="AQ53" i="12"/>
  <c r="K74" i="12"/>
  <c r="K75" i="12"/>
  <c r="K76" i="12"/>
  <c r="AD5" i="12"/>
  <c r="AO5" i="12" s="1"/>
  <c r="AY5" i="12" s="1"/>
  <c r="D11" i="13"/>
  <c r="D12" i="13"/>
  <c r="W108" i="12"/>
  <c r="W109" i="12"/>
  <c r="X104" i="12"/>
  <c r="X105" i="12"/>
  <c r="X119" i="12"/>
  <c r="X120" i="12"/>
  <c r="W124" i="12"/>
  <c r="D8" i="13"/>
  <c r="S5" i="12"/>
  <c r="X8" i="8"/>
  <c r="X8" i="1"/>
  <c r="X12" i="8"/>
  <c r="X11" i="8"/>
  <c r="X10" i="8"/>
  <c r="X9" i="8"/>
  <c r="B9" i="8"/>
  <c r="B10" i="8"/>
  <c r="AD113" i="12" l="1"/>
  <c r="AE113" i="12"/>
  <c r="AE108" i="12"/>
  <c r="AD108" i="12"/>
  <c r="AO108" i="12" s="1"/>
  <c r="AD107" i="12"/>
  <c r="AE107" i="12"/>
  <c r="AD101" i="12"/>
  <c r="AH101" i="12" s="1"/>
  <c r="X101" i="12"/>
  <c r="AE101" i="12"/>
  <c r="AE100" i="12"/>
  <c r="X100" i="12"/>
  <c r="AD100" i="12"/>
  <c r="AE94" i="12"/>
  <c r="AD94" i="12"/>
  <c r="AD87" i="12"/>
  <c r="AE87" i="12"/>
  <c r="AI87" i="12" s="1"/>
  <c r="AD85" i="12"/>
  <c r="AE85" i="12"/>
  <c r="AD71" i="12"/>
  <c r="AE71" i="12"/>
  <c r="AD69" i="12"/>
  <c r="AE69" i="12"/>
  <c r="AE54" i="12"/>
  <c r="AP54" i="12" s="1"/>
  <c r="AD54" i="12"/>
  <c r="AD45" i="12"/>
  <c r="AE45" i="12"/>
  <c r="AD35" i="12"/>
  <c r="AE35" i="12"/>
  <c r="AI35" i="12" s="1"/>
  <c r="AD77" i="12"/>
  <c r="T77" i="12"/>
  <c r="AE77" i="12"/>
  <c r="AI77" i="12" s="1"/>
  <c r="AE122" i="12"/>
  <c r="AP122" i="12" s="1"/>
  <c r="AD122" i="12"/>
  <c r="AD121" i="12"/>
  <c r="AE121" i="12"/>
  <c r="AE114" i="12"/>
  <c r="AD114" i="12"/>
  <c r="AD105" i="12"/>
  <c r="AE105" i="12"/>
  <c r="AE102" i="12"/>
  <c r="AD102" i="12"/>
  <c r="X102" i="12"/>
  <c r="X98" i="12"/>
  <c r="AE98" i="12"/>
  <c r="AD98" i="12"/>
  <c r="AD93" i="12"/>
  <c r="AE93" i="12"/>
  <c r="AP93" i="12" s="1"/>
  <c r="AE92" i="12"/>
  <c r="AD92" i="12"/>
  <c r="AD89" i="12"/>
  <c r="AH89" i="12" s="1"/>
  <c r="AE89" i="12"/>
  <c r="AI89" i="12" s="1"/>
  <c r="AD73" i="12"/>
  <c r="AE73" i="12"/>
  <c r="AD65" i="12"/>
  <c r="AE65" i="12"/>
  <c r="AT65" i="12" s="1"/>
  <c r="AE64" i="12"/>
  <c r="AD64" i="12"/>
  <c r="AE62" i="12"/>
  <c r="AD62" i="12"/>
  <c r="AD61" i="12"/>
  <c r="AE61" i="12"/>
  <c r="AD59" i="12"/>
  <c r="AO59" i="12" s="1"/>
  <c r="AE59" i="12"/>
  <c r="AE58" i="12"/>
  <c r="AD58" i="12"/>
  <c r="AD55" i="12"/>
  <c r="AH55" i="12" s="1"/>
  <c r="AE55" i="12"/>
  <c r="AI55" i="12" s="1"/>
  <c r="AE38" i="12"/>
  <c r="AD38" i="12"/>
  <c r="AE36" i="12"/>
  <c r="AI36" i="12" s="1"/>
  <c r="AD36" i="12"/>
  <c r="AD31" i="12"/>
  <c r="AE31" i="12"/>
  <c r="AE26" i="12"/>
  <c r="AI26" i="12" s="1"/>
  <c r="AD26" i="12"/>
  <c r="AD23" i="12"/>
  <c r="AE23" i="12"/>
  <c r="AD21" i="12"/>
  <c r="AH21" i="12" s="1"/>
  <c r="AE21" i="12"/>
  <c r="AI21" i="12" s="1"/>
  <c r="AD17" i="12"/>
  <c r="AE17" i="12"/>
  <c r="AD13" i="12"/>
  <c r="AH13" i="12" s="1"/>
  <c r="AE13" i="12"/>
  <c r="T74" i="12"/>
  <c r="AE74" i="12"/>
  <c r="AD74" i="12"/>
  <c r="AO74" i="12" s="1"/>
  <c r="AE76" i="12"/>
  <c r="T76" i="12"/>
  <c r="AD76" i="12"/>
  <c r="AD123" i="12"/>
  <c r="AE123" i="12"/>
  <c r="AE112" i="12"/>
  <c r="AD112" i="12"/>
  <c r="AE106" i="12"/>
  <c r="AD106" i="12"/>
  <c r="AH106" i="12" s="1"/>
  <c r="AE104" i="12"/>
  <c r="AD104" i="12"/>
  <c r="AE88" i="12"/>
  <c r="AD88" i="12"/>
  <c r="AH88" i="12" s="1"/>
  <c r="AE70" i="12"/>
  <c r="AD70" i="12"/>
  <c r="AE68" i="12"/>
  <c r="AP68" i="12" s="1"/>
  <c r="AD68" i="12"/>
  <c r="AD63" i="12"/>
  <c r="AE63" i="12"/>
  <c r="AE60" i="12"/>
  <c r="AI60" i="12" s="1"/>
  <c r="AD60" i="12"/>
  <c r="AD53" i="12"/>
  <c r="AE53" i="12"/>
  <c r="AE44" i="12"/>
  <c r="AD44" i="12"/>
  <c r="AH44" i="12" s="1"/>
  <c r="AD37" i="12"/>
  <c r="AE37" i="12"/>
  <c r="AE34" i="12"/>
  <c r="AI34" i="12" s="1"/>
  <c r="AD34" i="12"/>
  <c r="AS34" i="12" s="1"/>
  <c r="AE30" i="12"/>
  <c r="AD30" i="12"/>
  <c r="AD25" i="12"/>
  <c r="AE25" i="12"/>
  <c r="AE20" i="12"/>
  <c r="AD20" i="12"/>
  <c r="AE16" i="12"/>
  <c r="AI16" i="12" s="1"/>
  <c r="AD16" i="12"/>
  <c r="AE12" i="12"/>
  <c r="AD12" i="12"/>
  <c r="AE10" i="12"/>
  <c r="AD10" i="12"/>
  <c r="AH10" i="12" s="1"/>
  <c r="AE8" i="12"/>
  <c r="AD8" i="12"/>
  <c r="AE124" i="12"/>
  <c r="AI124" i="12" s="1"/>
  <c r="AD124" i="12"/>
  <c r="AE120" i="12"/>
  <c r="AD120" i="12"/>
  <c r="AD119" i="12"/>
  <c r="AH119" i="12" s="1"/>
  <c r="AE119" i="12"/>
  <c r="AE118" i="12"/>
  <c r="AD118" i="12"/>
  <c r="AD117" i="12"/>
  <c r="AH117" i="12" s="1"/>
  <c r="AE117" i="12"/>
  <c r="AE116" i="12"/>
  <c r="AD116" i="12"/>
  <c r="AD115" i="12"/>
  <c r="AE115" i="12"/>
  <c r="AI115" i="12" s="1"/>
  <c r="AE110" i="12"/>
  <c r="AD110" i="12"/>
  <c r="AD109" i="12"/>
  <c r="AO109" i="12" s="1"/>
  <c r="AE109" i="12"/>
  <c r="AD97" i="12"/>
  <c r="AE97" i="12"/>
  <c r="AE96" i="12"/>
  <c r="AD96" i="12"/>
  <c r="AH96" i="12" s="1"/>
  <c r="AD91" i="12"/>
  <c r="AE91" i="12"/>
  <c r="AE90" i="12"/>
  <c r="AD90" i="12"/>
  <c r="AE82" i="12"/>
  <c r="AD82" i="12"/>
  <c r="AD81" i="12"/>
  <c r="AE81" i="12"/>
  <c r="AE72" i="12"/>
  <c r="AD72" i="12"/>
  <c r="AE66" i="12"/>
  <c r="AD66" i="12"/>
  <c r="AD57" i="12"/>
  <c r="AE57" i="12"/>
  <c r="AE56" i="12"/>
  <c r="AI56" i="12" s="1"/>
  <c r="AD56" i="12"/>
  <c r="AH56" i="12" s="1"/>
  <c r="AD39" i="12"/>
  <c r="AE39" i="12"/>
  <c r="AE32" i="12"/>
  <c r="AD32" i="12"/>
  <c r="AE28" i="12"/>
  <c r="AD28" i="12"/>
  <c r="AD27" i="12"/>
  <c r="AE27" i="12"/>
  <c r="AE22" i="12"/>
  <c r="AD22" i="12"/>
  <c r="AE18" i="12"/>
  <c r="AD18" i="12"/>
  <c r="AH18" i="12" s="1"/>
  <c r="AE14" i="12"/>
  <c r="AD14" i="12"/>
  <c r="AD11" i="12"/>
  <c r="AE11" i="12"/>
  <c r="AI11" i="12" s="1"/>
  <c r="AD9" i="12"/>
  <c r="AE9" i="12"/>
  <c r="AD79" i="12"/>
  <c r="AH79" i="12" s="1"/>
  <c r="AE79" i="12"/>
  <c r="T79" i="12"/>
  <c r="S79" i="12"/>
  <c r="AD75" i="12"/>
  <c r="AH75" i="12" s="1"/>
  <c r="AE75" i="12"/>
  <c r="AI75" i="12" s="1"/>
  <c r="T75" i="12"/>
  <c r="AD111" i="12"/>
  <c r="AE111" i="12"/>
  <c r="AD103" i="12"/>
  <c r="AE103" i="12"/>
  <c r="AD99" i="12"/>
  <c r="AO99" i="12" s="1"/>
  <c r="AE99" i="12"/>
  <c r="AD95" i="12"/>
  <c r="AE95" i="12"/>
  <c r="AI95" i="12" s="1"/>
  <c r="AE86" i="12"/>
  <c r="AD86" i="12"/>
  <c r="AE84" i="12"/>
  <c r="AD84" i="12"/>
  <c r="AD83" i="12"/>
  <c r="AE83" i="12"/>
  <c r="AE80" i="12"/>
  <c r="AP80" i="12" s="1"/>
  <c r="AD80" i="12"/>
  <c r="AH80" i="12" s="1"/>
  <c r="AD67" i="12"/>
  <c r="AE67" i="12"/>
  <c r="AE52" i="12"/>
  <c r="AI52" i="12" s="1"/>
  <c r="AD52" i="12"/>
  <c r="AD51" i="12"/>
  <c r="AE51" i="12"/>
  <c r="AE50" i="12"/>
  <c r="AD50" i="12"/>
  <c r="AD49" i="12"/>
  <c r="AE49" i="12"/>
  <c r="AE48" i="12"/>
  <c r="AI48" i="12" s="1"/>
  <c r="AD48" i="12"/>
  <c r="AH48" i="12" s="1"/>
  <c r="AD47" i="12"/>
  <c r="AE47" i="12"/>
  <c r="AI47" i="12" s="1"/>
  <c r="AE46" i="12"/>
  <c r="AD46" i="12"/>
  <c r="AO46" i="12" s="1"/>
  <c r="AD43" i="12"/>
  <c r="AE43" i="12"/>
  <c r="AE42" i="12"/>
  <c r="AI42" i="12" s="1"/>
  <c r="AD42" i="12"/>
  <c r="AH42" i="12" s="1"/>
  <c r="AD41" i="12"/>
  <c r="AE41" i="12"/>
  <c r="AE40" i="12"/>
  <c r="AD40" i="12"/>
  <c r="AH40" i="12" s="1"/>
  <c r="AD33" i="12"/>
  <c r="AE33" i="12"/>
  <c r="AI33" i="12" s="1"/>
  <c r="AD29" i="12"/>
  <c r="AH29" i="12" s="1"/>
  <c r="AE29" i="12"/>
  <c r="AI29" i="12" s="1"/>
  <c r="AE24" i="12"/>
  <c r="AD24" i="12"/>
  <c r="AD19" i="12"/>
  <c r="AE19" i="12"/>
  <c r="AI19" i="12" s="1"/>
  <c r="AD15" i="12"/>
  <c r="AE15" i="12"/>
  <c r="S78" i="12"/>
  <c r="BC78" i="12" s="1"/>
  <c r="AE78" i="12"/>
  <c r="T78" i="12"/>
  <c r="AD78" i="12"/>
  <c r="AQ74" i="12"/>
  <c r="AO72" i="12"/>
  <c r="X103" i="12"/>
  <c r="K103" i="12"/>
  <c r="AI86" i="12"/>
  <c r="AI83" i="12"/>
  <c r="AI67" i="12"/>
  <c r="AI51" i="12"/>
  <c r="AI49" i="12"/>
  <c r="AI43" i="12"/>
  <c r="AO120" i="12"/>
  <c r="AO116" i="12"/>
  <c r="AP97" i="12"/>
  <c r="AP57" i="12"/>
  <c r="AI39" i="12"/>
  <c r="AP22" i="12"/>
  <c r="AO22" i="12"/>
  <c r="AI14" i="12"/>
  <c r="AP112" i="12"/>
  <c r="AH112" i="12"/>
  <c r="AH107" i="12"/>
  <c r="AO104" i="12"/>
  <c r="AI94" i="12"/>
  <c r="AO94" i="12"/>
  <c r="AT85" i="12"/>
  <c r="AI70" i="12"/>
  <c r="AI69" i="12"/>
  <c r="AH63" i="12"/>
  <c r="AH53" i="12"/>
  <c r="AI53" i="12"/>
  <c r="AI37" i="12"/>
  <c r="AH30" i="12"/>
  <c r="AI20" i="12"/>
  <c r="X77" i="12"/>
  <c r="AP82" i="12"/>
  <c r="AH122" i="12"/>
  <c r="AI102" i="12"/>
  <c r="AH92" i="12"/>
  <c r="AI73" i="12"/>
  <c r="AT64" i="12"/>
  <c r="AI61" i="12"/>
  <c r="AI58" i="12"/>
  <c r="AH58" i="12"/>
  <c r="AP38" i="12"/>
  <c r="AI31" i="12"/>
  <c r="AI23" i="12"/>
  <c r="AI74" i="12"/>
  <c r="L74" i="12"/>
  <c r="AO76" i="12"/>
  <c r="AQ61" i="12"/>
  <c r="AQ56" i="12"/>
  <c r="X78" i="12"/>
  <c r="AQ55" i="12"/>
  <c r="AQ48" i="12"/>
  <c r="AR87" i="12"/>
  <c r="AQ84" i="12"/>
  <c r="AQ43" i="12"/>
  <c r="AR55" i="12"/>
  <c r="AR21" i="12"/>
  <c r="AR61" i="12"/>
  <c r="AQ58" i="12"/>
  <c r="K119" i="12"/>
  <c r="AQ104" i="12"/>
  <c r="AQ77" i="12"/>
  <c r="AR60" i="12"/>
  <c r="AQ101" i="12"/>
  <c r="AQ75" i="12"/>
  <c r="X79" i="12"/>
  <c r="X75" i="12"/>
  <c r="Z75" i="12"/>
  <c r="AA75" i="12" s="1"/>
  <c r="AR19" i="12"/>
  <c r="AR115" i="12"/>
  <c r="AR86" i="12"/>
  <c r="AQ95" i="12"/>
  <c r="AQ86" i="12"/>
  <c r="AQ80" i="12"/>
  <c r="AR85" i="12"/>
  <c r="AR77" i="12"/>
  <c r="N76" i="12"/>
  <c r="AG76" i="12" s="1"/>
  <c r="AR80" i="12"/>
  <c r="AQ66" i="12"/>
  <c r="AR52" i="12"/>
  <c r="X122" i="12"/>
  <c r="AR42" i="12"/>
  <c r="AH47" i="12"/>
  <c r="AQ52" i="12"/>
  <c r="AR74" i="12"/>
  <c r="AQ50" i="12"/>
  <c r="AR43" i="12"/>
  <c r="AR56" i="12"/>
  <c r="AR47" i="12"/>
  <c r="AR16" i="12"/>
  <c r="S18" i="12"/>
  <c r="K18" i="12" s="1"/>
  <c r="AR49" i="12"/>
  <c r="AR113" i="12"/>
  <c r="S112" i="12"/>
  <c r="K112" i="12" s="1"/>
  <c r="AQ112" i="12"/>
  <c r="AQ44" i="12"/>
  <c r="AR69" i="12"/>
  <c r="AR73" i="12"/>
  <c r="AQ67" i="12"/>
  <c r="T73" i="12"/>
  <c r="L73" i="12" s="1"/>
  <c r="AR67" i="12"/>
  <c r="AQ73" i="12"/>
  <c r="S63" i="12"/>
  <c r="K63" i="12" s="1"/>
  <c r="T123" i="12"/>
  <c r="Z123" i="12" s="1"/>
  <c r="O123" i="12" s="1"/>
  <c r="X121" i="12"/>
  <c r="L121" i="12"/>
  <c r="AG50" i="12"/>
  <c r="AR50" i="12" s="1"/>
  <c r="AG45" i="12"/>
  <c r="AR45" i="12" s="1"/>
  <c r="AR72" i="12"/>
  <c r="AI72" i="12"/>
  <c r="AG57" i="12"/>
  <c r="AG44" i="12"/>
  <c r="AR44" i="12" s="1"/>
  <c r="AF41" i="12"/>
  <c r="AQ41" i="12" s="1"/>
  <c r="AG32" i="12"/>
  <c r="AR32" i="12" s="1"/>
  <c r="T51" i="12"/>
  <c r="L51" i="12" s="1"/>
  <c r="T49" i="12"/>
  <c r="L49" i="12" s="1"/>
  <c r="T41" i="12"/>
  <c r="L41" i="12" s="1"/>
  <c r="T32" i="12"/>
  <c r="L32" i="12" s="1"/>
  <c r="S30" i="12"/>
  <c r="K30" i="12" s="1"/>
  <c r="T14" i="12"/>
  <c r="L14" i="12" s="1"/>
  <c r="BD75" i="12"/>
  <c r="T124" i="12"/>
  <c r="X124" i="12" s="1"/>
  <c r="S118" i="12"/>
  <c r="K118" i="12" s="1"/>
  <c r="T111" i="12"/>
  <c r="L111" i="12" s="1"/>
  <c r="S73" i="12"/>
  <c r="K73" i="12" s="1"/>
  <c r="T71" i="12"/>
  <c r="L71" i="12" s="1"/>
  <c r="S68" i="12"/>
  <c r="K68" i="12" s="1"/>
  <c r="T67" i="12"/>
  <c r="L67" i="12" s="1"/>
  <c r="S64" i="12"/>
  <c r="K64" i="12" s="1"/>
  <c r="T63" i="12"/>
  <c r="L63" i="12" s="1"/>
  <c r="T58" i="12"/>
  <c r="L58" i="12" s="1"/>
  <c r="T43" i="12"/>
  <c r="L43" i="12" s="1"/>
  <c r="S39" i="12"/>
  <c r="K39" i="12" s="1"/>
  <c r="S32" i="12"/>
  <c r="K32" i="12" s="1"/>
  <c r="S20" i="12"/>
  <c r="K20" i="12" s="1"/>
  <c r="S17" i="12"/>
  <c r="K17" i="12" s="1"/>
  <c r="L119" i="12"/>
  <c r="T117" i="12"/>
  <c r="L117" i="12" s="1"/>
  <c r="S114" i="12"/>
  <c r="T113" i="12"/>
  <c r="L113" i="12" s="1"/>
  <c r="T19" i="12"/>
  <c r="L19" i="12" s="1"/>
  <c r="T13" i="12"/>
  <c r="L13" i="12" s="1"/>
  <c r="AG103" i="12"/>
  <c r="AR103" i="12" s="1"/>
  <c r="AF91" i="12"/>
  <c r="AQ91" i="12" s="1"/>
  <c r="AG88" i="12"/>
  <c r="AR88" i="12" s="1"/>
  <c r="AF51" i="12"/>
  <c r="AQ51" i="12" s="1"/>
  <c r="AF45" i="12"/>
  <c r="AQ45" i="12" s="1"/>
  <c r="T109" i="12"/>
  <c r="Z109" i="12" s="1"/>
  <c r="X107" i="12"/>
  <c r="L107" i="12"/>
  <c r="AF70" i="12"/>
  <c r="AQ70" i="12" s="1"/>
  <c r="AF46" i="12"/>
  <c r="AQ46" i="12" s="1"/>
  <c r="AG40" i="12"/>
  <c r="AR40" i="12" s="1"/>
  <c r="AG100" i="12"/>
  <c r="AR100" i="12" s="1"/>
  <c r="AF72" i="12"/>
  <c r="AF69" i="12"/>
  <c r="AQ69" i="12" s="1"/>
  <c r="AG105" i="12"/>
  <c r="AR105" i="12" s="1"/>
  <c r="AG93" i="12"/>
  <c r="AR93" i="12" s="1"/>
  <c r="AG82" i="12"/>
  <c r="AR82" i="12" s="1"/>
  <c r="AG71" i="12"/>
  <c r="AF64" i="12"/>
  <c r="AG63" i="12"/>
  <c r="AR63" i="12" s="1"/>
  <c r="AF39" i="12"/>
  <c r="AQ39" i="12" s="1"/>
  <c r="D13" i="13"/>
  <c r="Y2" i="12"/>
  <c r="N98" i="12"/>
  <c r="AG98" i="12" s="1"/>
  <c r="AR98" i="12" s="1"/>
  <c r="S89" i="12"/>
  <c r="K89" i="12" s="1"/>
  <c r="T87" i="12"/>
  <c r="L87" i="12" s="1"/>
  <c r="S86" i="12"/>
  <c r="K86" i="12" s="1"/>
  <c r="AH86" i="12"/>
  <c r="AH57" i="12"/>
  <c r="S55" i="12"/>
  <c r="K55" i="12" s="1"/>
  <c r="S52" i="12"/>
  <c r="K52" i="12" s="1"/>
  <c r="T50" i="12"/>
  <c r="L50" i="12" s="1"/>
  <c r="M38" i="12"/>
  <c r="S37" i="12"/>
  <c r="K37" i="12" s="1"/>
  <c r="T27" i="12"/>
  <c r="L27" i="12" s="1"/>
  <c r="T24" i="12"/>
  <c r="L24" i="12" s="1"/>
  <c r="AP24" i="12" s="1"/>
  <c r="S21" i="12"/>
  <c r="K21" i="12" s="1"/>
  <c r="M11" i="12"/>
  <c r="AF11" i="12" s="1"/>
  <c r="AQ11" i="12" s="1"/>
  <c r="D16" i="13"/>
  <c r="Z105" i="12"/>
  <c r="O105" i="12" s="1"/>
  <c r="M102" i="12"/>
  <c r="S11" i="12"/>
  <c r="K11" i="12" s="1"/>
  <c r="N110" i="12"/>
  <c r="AG110" i="12" s="1"/>
  <c r="AR110" i="12" s="1"/>
  <c r="M108" i="12"/>
  <c r="AF108" i="12" s="1"/>
  <c r="N104" i="12"/>
  <c r="AG104" i="12" s="1"/>
  <c r="AR104" i="12" s="1"/>
  <c r="T88" i="12"/>
  <c r="L88" i="12" s="1"/>
  <c r="N62" i="12"/>
  <c r="AG62" i="12" s="1"/>
  <c r="M23" i="12"/>
  <c r="AF23" i="12" s="1"/>
  <c r="T8" i="12"/>
  <c r="L8" i="12" s="1"/>
  <c r="AQ94" i="12"/>
  <c r="AQ92" i="12"/>
  <c r="M123" i="12"/>
  <c r="AF123" i="12" s="1"/>
  <c r="N119" i="12"/>
  <c r="AG119" i="12" s="1"/>
  <c r="AR119" i="12" s="1"/>
  <c r="S115" i="12"/>
  <c r="K115" i="12" s="1"/>
  <c r="T114" i="12"/>
  <c r="L114" i="12" s="1"/>
  <c r="S113" i="12"/>
  <c r="S111" i="12"/>
  <c r="K111" i="12" s="1"/>
  <c r="T110" i="12"/>
  <c r="L110" i="12" s="1"/>
  <c r="T92" i="12"/>
  <c r="L92" i="12" s="1"/>
  <c r="T89" i="12"/>
  <c r="L89" i="12" s="1"/>
  <c r="S88" i="12"/>
  <c r="K88" i="12" s="1"/>
  <c r="T86" i="12"/>
  <c r="L86" i="12" s="1"/>
  <c r="T84" i="12"/>
  <c r="L84" i="12" s="1"/>
  <c r="M78" i="12"/>
  <c r="T70" i="12"/>
  <c r="L70" i="12" s="1"/>
  <c r="S69" i="12"/>
  <c r="K69" i="12" s="1"/>
  <c r="T62" i="12"/>
  <c r="L62" i="12" s="1"/>
  <c r="T56" i="12"/>
  <c r="L56" i="12" s="1"/>
  <c r="T55" i="12"/>
  <c r="L55" i="12" s="1"/>
  <c r="T52" i="12"/>
  <c r="L52" i="12" s="1"/>
  <c r="S47" i="12"/>
  <c r="K47" i="12" s="1"/>
  <c r="S43" i="12"/>
  <c r="K43" i="12" s="1"/>
  <c r="S40" i="12"/>
  <c r="K40" i="12" s="1"/>
  <c r="T37" i="12"/>
  <c r="L37" i="12" s="1"/>
  <c r="S25" i="12"/>
  <c r="K25" i="12" s="1"/>
  <c r="S23" i="12"/>
  <c r="K23" i="12" s="1"/>
  <c r="T21" i="12"/>
  <c r="L21" i="12" s="1"/>
  <c r="T17" i="12"/>
  <c r="L17" i="12" s="1"/>
  <c r="S12" i="12"/>
  <c r="K12" i="12" s="1"/>
  <c r="S10" i="12"/>
  <c r="K10" i="12" s="1"/>
  <c r="AR122" i="12"/>
  <c r="AF124" i="12"/>
  <c r="AQ124" i="12" s="1"/>
  <c r="AQ122" i="12"/>
  <c r="AQ97" i="12"/>
  <c r="AR53" i="12"/>
  <c r="K123" i="12"/>
  <c r="AG121" i="12"/>
  <c r="AR121" i="12" s="1"/>
  <c r="AG118" i="12"/>
  <c r="AR118" i="12" s="1"/>
  <c r="T116" i="12"/>
  <c r="L116" i="12" s="1"/>
  <c r="T106" i="12"/>
  <c r="L104" i="12"/>
  <c r="AR99" i="12"/>
  <c r="AG90" i="12"/>
  <c r="AR90" i="12" s="1"/>
  <c r="M82" i="12"/>
  <c r="S82" i="12"/>
  <c r="K82" i="12" s="1"/>
  <c r="AG79" i="12"/>
  <c r="AR79" i="12" s="1"/>
  <c r="W123" i="12"/>
  <c r="D15" i="13"/>
  <c r="AR124" i="12"/>
  <c r="AQ121" i="12"/>
  <c r="AQ117" i="12"/>
  <c r="AQ114" i="12"/>
  <c r="L75" i="12"/>
  <c r="AR39" i="12"/>
  <c r="AG123" i="12"/>
  <c r="AR123" i="12" s="1"/>
  <c r="AF120" i="12"/>
  <c r="AQ120" i="12" s="1"/>
  <c r="AF115" i="12"/>
  <c r="AQ115" i="12" s="1"/>
  <c r="AG101" i="12"/>
  <c r="AR101" i="12" s="1"/>
  <c r="AF93" i="12"/>
  <c r="AQ93" i="12" s="1"/>
  <c r="AF116" i="12"/>
  <c r="AG109" i="12"/>
  <c r="AG107" i="12"/>
  <c r="AR107" i="12" s="1"/>
  <c r="AG106" i="12"/>
  <c r="AR106" i="12" s="1"/>
  <c r="AG81" i="12"/>
  <c r="AR81" i="12" s="1"/>
  <c r="M54" i="12"/>
  <c r="S54" i="12"/>
  <c r="K54" i="12" s="1"/>
  <c r="AG46" i="12"/>
  <c r="AR46" i="12" s="1"/>
  <c r="AH33" i="12"/>
  <c r="D19" i="13"/>
  <c r="AO53" i="12"/>
  <c r="AS53" i="12"/>
  <c r="AR48" i="12"/>
  <c r="AG120" i="12"/>
  <c r="AR120" i="12" s="1"/>
  <c r="AG116" i="12"/>
  <c r="AR116" i="12" s="1"/>
  <c r="AG114" i="12"/>
  <c r="AR114" i="12" s="1"/>
  <c r="AG112" i="12"/>
  <c r="N66" i="12"/>
  <c r="T66" i="12"/>
  <c r="L66" i="12" s="1"/>
  <c r="M65" i="12"/>
  <c r="S65" i="12"/>
  <c r="K65" i="12" s="1"/>
  <c r="Z120" i="12"/>
  <c r="AI99" i="12"/>
  <c r="T96" i="12"/>
  <c r="L96" i="12" s="1"/>
  <c r="Z85" i="12"/>
  <c r="O85" i="12" s="1"/>
  <c r="S84" i="12"/>
  <c r="K84" i="12" s="1"/>
  <c r="T83" i="12"/>
  <c r="L83" i="12" s="1"/>
  <c r="S67" i="12"/>
  <c r="K67" i="12" s="1"/>
  <c r="T61" i="12"/>
  <c r="L61" i="12" s="1"/>
  <c r="Z59" i="12"/>
  <c r="T46" i="12"/>
  <c r="L46" i="12" s="1"/>
  <c r="T39" i="12"/>
  <c r="L39" i="12" s="1"/>
  <c r="T18" i="12"/>
  <c r="L18" i="12" s="1"/>
  <c r="S14" i="12"/>
  <c r="K14" i="12" s="1"/>
  <c r="N10" i="12"/>
  <c r="AG10" i="12" s="1"/>
  <c r="AR10" i="12" s="1"/>
  <c r="T10" i="12"/>
  <c r="L10" i="12" s="1"/>
  <c r="AG8" i="12"/>
  <c r="AR8" i="12" s="1"/>
  <c r="S90" i="12"/>
  <c r="K90" i="12" s="1"/>
  <c r="T81" i="12"/>
  <c r="L81" i="12" s="1"/>
  <c r="T53" i="12"/>
  <c r="L53" i="12" s="1"/>
  <c r="T48" i="12"/>
  <c r="L48" i="12" s="1"/>
  <c r="S44" i="12"/>
  <c r="S38" i="12"/>
  <c r="K38" i="12" s="1"/>
  <c r="T34" i="12"/>
  <c r="L34" i="12" s="1"/>
  <c r="Z104" i="12"/>
  <c r="O104" i="12" s="1"/>
  <c r="M71" i="12"/>
  <c r="AF71" i="12" s="1"/>
  <c r="AQ71" i="12" s="1"/>
  <c r="S71" i="12"/>
  <c r="K71" i="12" s="1"/>
  <c r="M62" i="12"/>
  <c r="AF62" i="12" s="1"/>
  <c r="S62" i="12"/>
  <c r="K62" i="12" s="1"/>
  <c r="M60" i="12"/>
  <c r="AF60" i="12" s="1"/>
  <c r="S60" i="12"/>
  <c r="K60" i="12" s="1"/>
  <c r="S13" i="12"/>
  <c r="K13" i="12" s="1"/>
  <c r="T42" i="12"/>
  <c r="L42" i="12" s="1"/>
  <c r="T35" i="12"/>
  <c r="L35" i="12" s="1"/>
  <c r="T28" i="12"/>
  <c r="L28" i="12" s="1"/>
  <c r="T26" i="12"/>
  <c r="L26" i="12" s="1"/>
  <c r="S24" i="12"/>
  <c r="K24" i="12" s="1"/>
  <c r="T20" i="12"/>
  <c r="L20" i="12" s="1"/>
  <c r="S19" i="12"/>
  <c r="K19" i="12" s="1"/>
  <c r="S16" i="12"/>
  <c r="K16" i="12" s="1"/>
  <c r="S9" i="12"/>
  <c r="K9" i="12" s="1"/>
  <c r="S35" i="12"/>
  <c r="T30" i="12"/>
  <c r="L30" i="12" s="1"/>
  <c r="S28" i="12"/>
  <c r="K28" i="12" s="1"/>
  <c r="S26" i="12"/>
  <c r="K26" i="12" s="1"/>
  <c r="T15" i="12"/>
  <c r="L15" i="12" s="1"/>
  <c r="T12" i="12"/>
  <c r="L12" i="12" s="1"/>
  <c r="Z57" i="12"/>
  <c r="T16" i="12"/>
  <c r="L16" i="12" s="1"/>
  <c r="AF49" i="12"/>
  <c r="AQ49" i="12" s="1"/>
  <c r="AI12" i="12"/>
  <c r="AR97" i="12"/>
  <c r="AR95" i="12"/>
  <c r="AR54" i="12"/>
  <c r="K117" i="12"/>
  <c r="AF110" i="12"/>
  <c r="AQ110" i="12" s="1"/>
  <c r="AG91" i="12"/>
  <c r="AR91" i="12" s="1"/>
  <c r="AG38" i="12"/>
  <c r="AF100" i="12"/>
  <c r="AQ100" i="12" s="1"/>
  <c r="AF87" i="12"/>
  <c r="AQ87" i="12" s="1"/>
  <c r="AR75" i="12"/>
  <c r="AR68" i="12"/>
  <c r="AR65" i="12"/>
  <c r="AO51" i="12"/>
  <c r="AG108" i="12"/>
  <c r="AR108" i="12" s="1"/>
  <c r="AG92" i="12"/>
  <c r="AR92" i="12" s="1"/>
  <c r="AQ113" i="12"/>
  <c r="AQ111" i="12"/>
  <c r="AR20" i="12"/>
  <c r="K105" i="12"/>
  <c r="AF109" i="12"/>
  <c r="AF81" i="12"/>
  <c r="AQ81" i="12" s="1"/>
  <c r="AG41" i="12"/>
  <c r="AG17" i="12"/>
  <c r="AR17" i="12" s="1"/>
  <c r="Z80" i="12"/>
  <c r="AQ85" i="12"/>
  <c r="Z93" i="12"/>
  <c r="Z72" i="12"/>
  <c r="AR37" i="12"/>
  <c r="AR22" i="12"/>
  <c r="AQ42" i="12"/>
  <c r="Z107" i="12"/>
  <c r="K107" i="12"/>
  <c r="AF68" i="12"/>
  <c r="AQ68" i="12" s="1"/>
  <c r="AQ119" i="12"/>
  <c r="Z95" i="12"/>
  <c r="K101" i="12"/>
  <c r="Z97" i="12"/>
  <c r="AA97" i="12" s="1"/>
  <c r="P97" i="12" s="1"/>
  <c r="Z91" i="12"/>
  <c r="AR26" i="12"/>
  <c r="AR36" i="12"/>
  <c r="T31" i="12"/>
  <c r="L31" i="12" s="1"/>
  <c r="T29" i="12"/>
  <c r="L29" i="12" s="1"/>
  <c r="D10" i="13"/>
  <c r="AR34" i="12"/>
  <c r="AR29" i="12"/>
  <c r="S33" i="12"/>
  <c r="K33" i="12" s="1"/>
  <c r="S31" i="12"/>
  <c r="K31" i="12" s="1"/>
  <c r="S29" i="12"/>
  <c r="K29" i="12" s="1"/>
  <c r="K121" i="12"/>
  <c r="Z121" i="12"/>
  <c r="AG111" i="12"/>
  <c r="AF99" i="12"/>
  <c r="AG84" i="12"/>
  <c r="AF83" i="12"/>
  <c r="AQ83" i="12" s="1"/>
  <c r="AQ79" i="12"/>
  <c r="AG78" i="12"/>
  <c r="AF76" i="12"/>
  <c r="AP72" i="12"/>
  <c r="AT72" i="12"/>
  <c r="AF103" i="12"/>
  <c r="AG18" i="12"/>
  <c r="AR18" i="12" s="1"/>
  <c r="AG15" i="12"/>
  <c r="AG96" i="12"/>
  <c r="Z122" i="12"/>
  <c r="K122" i="12"/>
  <c r="K110" i="12"/>
  <c r="K96" i="12"/>
  <c r="O119" i="12"/>
  <c r="AA119" i="12"/>
  <c r="P119" i="12" s="1"/>
  <c r="K106" i="12"/>
  <c r="Z45" i="12"/>
  <c r="AQ21" i="12"/>
  <c r="Z94" i="12"/>
  <c r="AR11" i="12"/>
  <c r="AF15" i="12"/>
  <c r="T11" i="12"/>
  <c r="L11" i="12" s="1"/>
  <c r="M8" i="12"/>
  <c r="V2" i="12"/>
  <c r="AR13" i="12"/>
  <c r="Z22" i="12"/>
  <c r="AQ13" i="12"/>
  <c r="N9" i="12"/>
  <c r="T9" i="12"/>
  <c r="L9" i="12" s="1"/>
  <c r="AF20" i="12"/>
  <c r="AQ20" i="12" s="1"/>
  <c r="AF19" i="12"/>
  <c r="AQ19" i="12" s="1"/>
  <c r="S8" i="12"/>
  <c r="U2" i="12"/>
  <c r="D9" i="13"/>
  <c r="AR12" i="12"/>
  <c r="S15" i="12"/>
  <c r="AQ14" i="12"/>
  <c r="AF12" i="12"/>
  <c r="AF9" i="12"/>
  <c r="AQ9" i="12" s="1"/>
  <c r="AF22" i="12"/>
  <c r="AQ18" i="12"/>
  <c r="AF16" i="12"/>
  <c r="AQ16" i="12" s="1"/>
  <c r="AR35" i="12"/>
  <c r="AF35" i="12"/>
  <c r="AQ35" i="12" s="1"/>
  <c r="AF27" i="12"/>
  <c r="AG25" i="12"/>
  <c r="AR25" i="12" s="1"/>
  <c r="AR30" i="12"/>
  <c r="AQ34" i="12"/>
  <c r="AQ33" i="12"/>
  <c r="AF32" i="12"/>
  <c r="AQ32" i="12" s="1"/>
  <c r="AG28" i="12"/>
  <c r="K27" i="12"/>
  <c r="AQ26" i="12"/>
  <c r="AQ25" i="12"/>
  <c r="AF24" i="12"/>
  <c r="T33" i="12"/>
  <c r="AF31" i="12"/>
  <c r="T25" i="12"/>
  <c r="T23" i="12"/>
  <c r="AR33" i="12"/>
  <c r="AQ37" i="12"/>
  <c r="K36" i="12"/>
  <c r="Z36" i="12"/>
  <c r="AF36" i="12"/>
  <c r="AQ30" i="12"/>
  <c r="AQ29" i="12"/>
  <c r="AF28" i="12"/>
  <c r="AQ28" i="12" s="1"/>
  <c r="AR27" i="12"/>
  <c r="AG24" i="12"/>
  <c r="AI24" i="12" s="1"/>
  <c r="AS74" i="12" l="1"/>
  <c r="Z35" i="12"/>
  <c r="AA35" i="12" s="1"/>
  <c r="P35" i="12" s="1"/>
  <c r="AK117" i="12"/>
  <c r="AL117" i="12" s="1"/>
  <c r="AP20" i="12"/>
  <c r="AS21" i="12"/>
  <c r="Z74" i="12"/>
  <c r="AA74" i="12" s="1"/>
  <c r="P74" i="12" s="1"/>
  <c r="AO119" i="12"/>
  <c r="AP42" i="12"/>
  <c r="AH59" i="12"/>
  <c r="AT112" i="12"/>
  <c r="AH104" i="12"/>
  <c r="AI22" i="12"/>
  <c r="AK74" i="12"/>
  <c r="AL74" i="12" s="1"/>
  <c r="AK53" i="12"/>
  <c r="AL53" i="12" s="1"/>
  <c r="AP74" i="12"/>
  <c r="AT47" i="12"/>
  <c r="Z98" i="12"/>
  <c r="AA98" i="12" s="1"/>
  <c r="AP86" i="12"/>
  <c r="AP47" i="12"/>
  <c r="AI38" i="12"/>
  <c r="AO60" i="12"/>
  <c r="AT80" i="12"/>
  <c r="AS59" i="12"/>
  <c r="AS104" i="12"/>
  <c r="AH116" i="12"/>
  <c r="AS89" i="12"/>
  <c r="AI80" i="12"/>
  <c r="X74" i="12"/>
  <c r="AK30" i="12"/>
  <c r="AL30" i="12" s="1"/>
  <c r="AI54" i="12"/>
  <c r="Z101" i="12"/>
  <c r="AA101" i="12" s="1"/>
  <c r="P101" i="12" s="1"/>
  <c r="AT22" i="12"/>
  <c r="AT54" i="12"/>
  <c r="Z70" i="12"/>
  <c r="O70" i="12" s="1"/>
  <c r="BD74" i="12"/>
  <c r="AH74" i="12"/>
  <c r="AK59" i="12"/>
  <c r="AL59" i="12" s="1"/>
  <c r="AP31" i="12"/>
  <c r="AH60" i="12"/>
  <c r="AI57" i="12"/>
  <c r="Z100" i="12"/>
  <c r="AA100" i="12" s="1"/>
  <c r="AT74" i="12"/>
  <c r="AH64" i="12"/>
  <c r="AO64" i="12"/>
  <c r="AP13" i="12"/>
  <c r="AO30" i="12"/>
  <c r="Z77" i="12"/>
  <c r="AA77" i="12" s="1"/>
  <c r="AH34" i="12"/>
  <c r="AP65" i="12"/>
  <c r="AO34" i="12"/>
  <c r="AI76" i="12"/>
  <c r="AP71" i="12"/>
  <c r="AT69" i="12"/>
  <c r="AP62" i="12"/>
  <c r="AI71" i="12"/>
  <c r="AI65" i="12"/>
  <c r="AP69" i="12"/>
  <c r="AP55" i="12"/>
  <c r="Z58" i="12"/>
  <c r="AA58" i="12" s="1"/>
  <c r="P58" i="12" s="1"/>
  <c r="AS99" i="12"/>
  <c r="AS107" i="12"/>
  <c r="Z47" i="12"/>
  <c r="AA47" i="12" s="1"/>
  <c r="P47" i="12" s="1"/>
  <c r="AI100" i="12"/>
  <c r="AI45" i="12"/>
  <c r="Z27" i="12"/>
  <c r="AA27" i="12" s="1"/>
  <c r="P27" i="12" s="1"/>
  <c r="AP107" i="12"/>
  <c r="Z51" i="12"/>
  <c r="O51" i="12" s="1"/>
  <c r="AS119" i="12"/>
  <c r="AP27" i="12"/>
  <c r="Z43" i="12"/>
  <c r="O43" i="12" s="1"/>
  <c r="AT122" i="12"/>
  <c r="AQ123" i="12"/>
  <c r="Z82" i="12"/>
  <c r="O82" i="12" s="1"/>
  <c r="AP36" i="12"/>
  <c r="AA105" i="12"/>
  <c r="P105" i="12" s="1"/>
  <c r="AP119" i="12"/>
  <c r="AQ108" i="12"/>
  <c r="AT88" i="12"/>
  <c r="AI40" i="12"/>
  <c r="AI90" i="12"/>
  <c r="AO20" i="12"/>
  <c r="AO103" i="12"/>
  <c r="AP111" i="12"/>
  <c r="Z40" i="12"/>
  <c r="O40" i="12" s="1"/>
  <c r="AH41" i="12"/>
  <c r="Z50" i="12"/>
  <c r="O50" i="12" s="1"/>
  <c r="Z99" i="12"/>
  <c r="X99" i="12"/>
  <c r="Z102" i="12"/>
  <c r="AA102" i="12" s="1"/>
  <c r="W102" i="12"/>
  <c r="Z103" i="12"/>
  <c r="AA103" i="12" s="1"/>
  <c r="W103" i="12"/>
  <c r="AA104" i="12"/>
  <c r="P104" i="12" s="1"/>
  <c r="Z48" i="12"/>
  <c r="O48" i="12" s="1"/>
  <c r="AK69" i="12"/>
  <c r="AL69" i="12" s="1"/>
  <c r="Z110" i="12"/>
  <c r="O110" i="12" s="1"/>
  <c r="X76" i="12"/>
  <c r="Z76" i="12"/>
  <c r="AA76" i="12" s="1"/>
  <c r="P76" i="12" s="1"/>
  <c r="Z78" i="12"/>
  <c r="AA78" i="12" s="1"/>
  <c r="W78" i="12"/>
  <c r="AI118" i="12"/>
  <c r="AP59" i="12"/>
  <c r="Z49" i="12"/>
  <c r="AA49" i="12" s="1"/>
  <c r="P49" i="12" s="1"/>
  <c r="AS57" i="12"/>
  <c r="AH45" i="12"/>
  <c r="AI122" i="12"/>
  <c r="L76" i="12"/>
  <c r="AP76" i="12" s="1"/>
  <c r="BD76" i="12"/>
  <c r="Z79" i="12"/>
  <c r="AA79" i="12" s="1"/>
  <c r="W79" i="12"/>
  <c r="AT59" i="12"/>
  <c r="AP49" i="12"/>
  <c r="AR76" i="12"/>
  <c r="AI59" i="12"/>
  <c r="AI27" i="12"/>
  <c r="AI97" i="12"/>
  <c r="AP53" i="12"/>
  <c r="AK86" i="12"/>
  <c r="AL86" i="12" s="1"/>
  <c r="AT27" i="12"/>
  <c r="AI96" i="12"/>
  <c r="AP96" i="12"/>
  <c r="AP75" i="12"/>
  <c r="AH72" i="12"/>
  <c r="AT94" i="12"/>
  <c r="AP18" i="12"/>
  <c r="AO89" i="12"/>
  <c r="AP45" i="12"/>
  <c r="AK122" i="12"/>
  <c r="AL122" i="12" s="1"/>
  <c r="Z89" i="12"/>
  <c r="AA89" i="12" s="1"/>
  <c r="P89" i="12" s="1"/>
  <c r="AT55" i="12"/>
  <c r="AT75" i="12"/>
  <c r="Z18" i="12"/>
  <c r="O18" i="12" s="1"/>
  <c r="AP35" i="12"/>
  <c r="AK47" i="12"/>
  <c r="AL47" i="12" s="1"/>
  <c r="AP46" i="12"/>
  <c r="AP34" i="12"/>
  <c r="AS47" i="12"/>
  <c r="Z113" i="12"/>
  <c r="AP8" i="12"/>
  <c r="AI64" i="12"/>
  <c r="AS75" i="12"/>
  <c r="AT12" i="12"/>
  <c r="AI28" i="12"/>
  <c r="AK75" i="12"/>
  <c r="AL75" i="12" s="1"/>
  <c r="AP64" i="12"/>
  <c r="AP88" i="12"/>
  <c r="Z46" i="12"/>
  <c r="O46" i="12" s="1"/>
  <c r="AP84" i="12"/>
  <c r="AP15" i="12"/>
  <c r="AP28" i="12"/>
  <c r="AO75" i="12"/>
  <c r="AS103" i="12"/>
  <c r="AO57" i="12"/>
  <c r="AS37" i="12"/>
  <c r="AS86" i="12"/>
  <c r="AQ64" i="12"/>
  <c r="AP94" i="12"/>
  <c r="AI84" i="12"/>
  <c r="AT20" i="12"/>
  <c r="Z20" i="12"/>
  <c r="O20" i="12" s="1"/>
  <c r="AO23" i="12"/>
  <c r="Z31" i="12"/>
  <c r="O31" i="12" s="1"/>
  <c r="AK64" i="12"/>
  <c r="AL64" i="12" s="1"/>
  <c r="AO21" i="12"/>
  <c r="AT86" i="12"/>
  <c r="AS64" i="12"/>
  <c r="AP52" i="12"/>
  <c r="AI88" i="12"/>
  <c r="AO55" i="12"/>
  <c r="AP43" i="12"/>
  <c r="AS112" i="12"/>
  <c r="AO37" i="12"/>
  <c r="Z19" i="12"/>
  <c r="O19" i="12" s="1"/>
  <c r="Z90" i="12"/>
  <c r="O90" i="12" s="1"/>
  <c r="Z64" i="12"/>
  <c r="O64" i="12" s="1"/>
  <c r="AU64" i="12" s="1"/>
  <c r="AK55" i="12"/>
  <c r="AL55" i="12" s="1"/>
  <c r="AT34" i="12"/>
  <c r="Z88" i="12"/>
  <c r="AA88" i="12" s="1"/>
  <c r="P88" i="12" s="1"/>
  <c r="AT31" i="12"/>
  <c r="AT35" i="12"/>
  <c r="Z21" i="12"/>
  <c r="AA21" i="12" s="1"/>
  <c r="P21" i="12" s="1"/>
  <c r="AK57" i="12"/>
  <c r="AL57" i="12" s="1"/>
  <c r="Z86" i="12"/>
  <c r="O86" i="12" s="1"/>
  <c r="AT42" i="12"/>
  <c r="AP67" i="12"/>
  <c r="AT82" i="12"/>
  <c r="Z32" i="12"/>
  <c r="AA32" i="12" s="1"/>
  <c r="P32" i="12" s="1"/>
  <c r="AK34" i="12"/>
  <c r="AL34" i="12" s="1"/>
  <c r="AO25" i="12"/>
  <c r="AT57" i="12"/>
  <c r="Z42" i="12"/>
  <c r="O42" i="12" s="1"/>
  <c r="Z124" i="12"/>
  <c r="O124" i="12" s="1"/>
  <c r="AP17" i="12"/>
  <c r="Z92" i="12"/>
  <c r="AA92" i="12" s="1"/>
  <c r="P92" i="12" s="1"/>
  <c r="AP92" i="12"/>
  <c r="AS120" i="12"/>
  <c r="Z37" i="12"/>
  <c r="O37" i="12" s="1"/>
  <c r="AK26" i="12"/>
  <c r="AL26" i="12" s="1"/>
  <c r="AK13" i="12"/>
  <c r="AL13" i="12" s="1"/>
  <c r="AI32" i="12"/>
  <c r="AT43" i="12"/>
  <c r="Z41" i="12"/>
  <c r="O41" i="12" s="1"/>
  <c r="Z112" i="12"/>
  <c r="O112" i="12" s="1"/>
  <c r="AO56" i="12"/>
  <c r="AO26" i="12"/>
  <c r="AT67" i="12"/>
  <c r="Z17" i="12"/>
  <c r="O17" i="12" s="1"/>
  <c r="Z55" i="12"/>
  <c r="AA55" i="12" s="1"/>
  <c r="P55" i="12" s="1"/>
  <c r="AV55" i="12" s="1"/>
  <c r="Z96" i="12"/>
  <c r="AA96" i="12" s="1"/>
  <c r="P96" i="12" s="1"/>
  <c r="AP51" i="12"/>
  <c r="AT68" i="12"/>
  <c r="AI79" i="12"/>
  <c r="AP39" i="12"/>
  <c r="AP63" i="12"/>
  <c r="AP73" i="12"/>
  <c r="AP26" i="12"/>
  <c r="AK56" i="12"/>
  <c r="AL56" i="12" s="1"/>
  <c r="Z87" i="12"/>
  <c r="O87" i="12" s="1"/>
  <c r="AO38" i="12"/>
  <c r="AP41" i="12"/>
  <c r="AP61" i="12"/>
  <c r="AS69" i="12"/>
  <c r="Z63" i="12"/>
  <c r="O63" i="12" s="1"/>
  <c r="Z73" i="12"/>
  <c r="O73" i="12" s="1"/>
  <c r="AH69" i="12"/>
  <c r="AA109" i="12"/>
  <c r="P109" i="12" s="1"/>
  <c r="O109" i="12"/>
  <c r="Z118" i="12"/>
  <c r="O118" i="12" s="1"/>
  <c r="AS116" i="12"/>
  <c r="Z116" i="12"/>
  <c r="Z117" i="12"/>
  <c r="O117" i="12" s="1"/>
  <c r="AU117" i="12" s="1"/>
  <c r="Z114" i="12"/>
  <c r="O114" i="12" s="1"/>
  <c r="Z115" i="12"/>
  <c r="K114" i="12"/>
  <c r="AO114" i="12" s="1"/>
  <c r="Z111" i="12"/>
  <c r="O111" i="12" s="1"/>
  <c r="AQ116" i="12"/>
  <c r="AS40" i="12"/>
  <c r="AO40" i="12"/>
  <c r="Z38" i="12"/>
  <c r="AA38" i="12" s="1"/>
  <c r="P38" i="12" s="1"/>
  <c r="AH39" i="12"/>
  <c r="AO47" i="12"/>
  <c r="AI46" i="12"/>
  <c r="AI50" i="12"/>
  <c r="Z66" i="12"/>
  <c r="O66" i="12" s="1"/>
  <c r="AS72" i="12"/>
  <c r="Z68" i="12"/>
  <c r="O68" i="12" s="1"/>
  <c r="AR71" i="12"/>
  <c r="AQ72" i="12"/>
  <c r="AT71" i="12"/>
  <c r="AT62" i="12"/>
  <c r="AI63" i="12"/>
  <c r="Z67" i="12"/>
  <c r="O67" i="12" s="1"/>
  <c r="Z65" i="12"/>
  <c r="O65" i="12" s="1"/>
  <c r="Z69" i="12"/>
  <c r="AK72" i="12"/>
  <c r="AL72" i="12" s="1"/>
  <c r="AK62" i="12"/>
  <c r="AL62" i="12" s="1"/>
  <c r="AS123" i="12"/>
  <c r="L124" i="12"/>
  <c r="AT124" i="12" s="1"/>
  <c r="AH123" i="12"/>
  <c r="Z26" i="12"/>
  <c r="O26" i="12" s="1"/>
  <c r="AO107" i="12"/>
  <c r="AT52" i="12"/>
  <c r="AT50" i="12"/>
  <c r="AK106" i="12"/>
  <c r="AL106" i="12" s="1"/>
  <c r="AS55" i="12"/>
  <c r="AI103" i="12"/>
  <c r="AI44" i="12"/>
  <c r="AH46" i="12"/>
  <c r="AP81" i="12"/>
  <c r="AI112" i="12"/>
  <c r="AT107" i="12"/>
  <c r="AR57" i="12"/>
  <c r="Z53" i="12"/>
  <c r="O53" i="12" s="1"/>
  <c r="O97" i="12"/>
  <c r="AK107" i="12"/>
  <c r="AL107" i="12" s="1"/>
  <c r="AP50" i="12"/>
  <c r="K113" i="12"/>
  <c r="AO113" i="12" s="1"/>
  <c r="AI101" i="12"/>
  <c r="AS63" i="12"/>
  <c r="AO54" i="12"/>
  <c r="K35" i="12"/>
  <c r="AS35" i="12" s="1"/>
  <c r="Z13" i="12"/>
  <c r="AA13" i="12" s="1"/>
  <c r="P13" i="12" s="1"/>
  <c r="AT51" i="12"/>
  <c r="AT38" i="12"/>
  <c r="AP60" i="12"/>
  <c r="AK67" i="12"/>
  <c r="AL67" i="12" s="1"/>
  <c r="AK108" i="12"/>
  <c r="AL108" i="12" s="1"/>
  <c r="AK77" i="12"/>
  <c r="AL77" i="12" s="1"/>
  <c r="AK39" i="12"/>
  <c r="AL39" i="12" s="1"/>
  <c r="AS46" i="12"/>
  <c r="AS48" i="12"/>
  <c r="AS51" i="12"/>
  <c r="AR38" i="12"/>
  <c r="AA123" i="12"/>
  <c r="P123" i="12" s="1"/>
  <c r="AT26" i="12"/>
  <c r="AO62" i="12"/>
  <c r="AI82" i="12"/>
  <c r="L123" i="12"/>
  <c r="AP123" i="12" s="1"/>
  <c r="X123" i="12"/>
  <c r="Z84" i="12"/>
  <c r="O84" i="12" s="1"/>
  <c r="AF78" i="12"/>
  <c r="AQ78" i="12" s="1"/>
  <c r="AO14" i="12"/>
  <c r="AT56" i="12"/>
  <c r="AI13" i="12"/>
  <c r="Z83" i="12"/>
  <c r="AA83" i="12" s="1"/>
  <c r="P83" i="12" s="1"/>
  <c r="AT81" i="12"/>
  <c r="AK45" i="12"/>
  <c r="AL45" i="12" s="1"/>
  <c r="AI123" i="12"/>
  <c r="AO41" i="12"/>
  <c r="AI41" i="12"/>
  <c r="AS13" i="12"/>
  <c r="Z81" i="12"/>
  <c r="AA81" i="12" s="1"/>
  <c r="P81" i="12" s="1"/>
  <c r="AO69" i="12"/>
  <c r="AO86" i="12"/>
  <c r="L109" i="12"/>
  <c r="AP109" i="12" s="1"/>
  <c r="X109" i="12"/>
  <c r="AQ60" i="12"/>
  <c r="AS30" i="12"/>
  <c r="AT14" i="12"/>
  <c r="AT18" i="12"/>
  <c r="Z16" i="12"/>
  <c r="AA16" i="12" s="1"/>
  <c r="P16" i="12" s="1"/>
  <c r="AT13" i="12"/>
  <c r="AK48" i="12"/>
  <c r="AL48" i="12" s="1"/>
  <c r="AK18" i="12"/>
  <c r="AL18" i="12" s="1"/>
  <c r="AT92" i="12"/>
  <c r="AO112" i="12"/>
  <c r="AP19" i="12"/>
  <c r="AK123" i="12"/>
  <c r="AL123" i="12" s="1"/>
  <c r="AK25" i="12"/>
  <c r="AL25" i="12" s="1"/>
  <c r="Z61" i="12"/>
  <c r="O61" i="12" s="1"/>
  <c r="AT110" i="12"/>
  <c r="AP56" i="12"/>
  <c r="AT73" i="12"/>
  <c r="AI15" i="12"/>
  <c r="AP44" i="12"/>
  <c r="AK112" i="12"/>
  <c r="AL112" i="12" s="1"/>
  <c r="AT48" i="12"/>
  <c r="AI111" i="12"/>
  <c r="AT29" i="12"/>
  <c r="Z54" i="12"/>
  <c r="AA54" i="12" s="1"/>
  <c r="P54" i="12" s="1"/>
  <c r="AS26" i="12"/>
  <c r="AO123" i="12"/>
  <c r="AS60" i="12"/>
  <c r="Z56" i="12"/>
  <c r="AA56" i="12" s="1"/>
  <c r="P56" i="12" s="1"/>
  <c r="AT39" i="12"/>
  <c r="Z52" i="12"/>
  <c r="AA52" i="12" s="1"/>
  <c r="P52" i="12" s="1"/>
  <c r="AR62" i="12"/>
  <c r="AI62" i="12"/>
  <c r="AF38" i="12"/>
  <c r="AQ38" i="12" s="1"/>
  <c r="AK29" i="12"/>
  <c r="AL29" i="12" s="1"/>
  <c r="AO12" i="12"/>
  <c r="AK84" i="12"/>
  <c r="AL84" i="12" s="1"/>
  <c r="AK116" i="12"/>
  <c r="AL116" i="12" s="1"/>
  <c r="AT45" i="12"/>
  <c r="AP48" i="12"/>
  <c r="AK109" i="12"/>
  <c r="AL109" i="12" s="1"/>
  <c r="AP12" i="12"/>
  <c r="AP30" i="12"/>
  <c r="AH71" i="12"/>
  <c r="AR109" i="12"/>
  <c r="AF102" i="12"/>
  <c r="AQ102" i="12" s="1"/>
  <c r="AO92" i="12"/>
  <c r="AF65" i="12"/>
  <c r="AQ65" i="12" s="1"/>
  <c r="AF82" i="12"/>
  <c r="AS82" i="12" s="1"/>
  <c r="Z10" i="12"/>
  <c r="O10" i="12" s="1"/>
  <c r="AT21" i="12"/>
  <c r="AI30" i="12"/>
  <c r="Z12" i="12"/>
  <c r="AA12" i="12" s="1"/>
  <c r="P12" i="12" s="1"/>
  <c r="AK21" i="12"/>
  <c r="AL21" i="12" s="1"/>
  <c r="AK104" i="12"/>
  <c r="AL104" i="12" s="1"/>
  <c r="AT93" i="12"/>
  <c r="AT41" i="12"/>
  <c r="AT60" i="12"/>
  <c r="AP85" i="12"/>
  <c r="AK41" i="12"/>
  <c r="AL41" i="12" s="1"/>
  <c r="AK71" i="12"/>
  <c r="AL71" i="12" s="1"/>
  <c r="AK97" i="12"/>
  <c r="AL97" i="12" s="1"/>
  <c r="AV97" i="12" s="1"/>
  <c r="AS41" i="12"/>
  <c r="AR41" i="12"/>
  <c r="AS62" i="12"/>
  <c r="AQ109" i="12"/>
  <c r="AS56" i="12"/>
  <c r="AO13" i="12"/>
  <c r="O59" i="12"/>
  <c r="AA59" i="12"/>
  <c r="P59" i="12" s="1"/>
  <c r="L99" i="12"/>
  <c r="AR112" i="12"/>
  <c r="AS97" i="12"/>
  <c r="AH97" i="12"/>
  <c r="AO45" i="12"/>
  <c r="AT8" i="12"/>
  <c r="AI107" i="12"/>
  <c r="AT120" i="12"/>
  <c r="AP120" i="12"/>
  <c r="AI120" i="12"/>
  <c r="AS39" i="12"/>
  <c r="AS71" i="12"/>
  <c r="AO71" i="12"/>
  <c r="Z44" i="12"/>
  <c r="K44" i="12"/>
  <c r="AS44" i="12" s="1"/>
  <c r="AF54" i="12"/>
  <c r="AK54" i="12" s="1"/>
  <c r="AL54" i="12" s="1"/>
  <c r="T108" i="12"/>
  <c r="X106" i="12"/>
  <c r="L106" i="12"/>
  <c r="AT106" i="12" s="1"/>
  <c r="Z24" i="12"/>
  <c r="O24" i="12" s="1"/>
  <c r="AK33" i="12"/>
  <c r="AL33" i="12" s="1"/>
  <c r="AT30" i="12"/>
  <c r="AK10" i="12"/>
  <c r="AL10" i="12" s="1"/>
  <c r="AP21" i="12"/>
  <c r="AK40" i="12"/>
  <c r="AL40" i="12" s="1"/>
  <c r="AK60" i="12"/>
  <c r="AL60" i="12" s="1"/>
  <c r="AK101" i="12"/>
  <c r="AL101" i="12" s="1"/>
  <c r="AK120" i="12"/>
  <c r="AL120" i="12" s="1"/>
  <c r="AT53" i="12"/>
  <c r="AT58" i="12"/>
  <c r="AT40" i="12"/>
  <c r="Z60" i="12"/>
  <c r="AA60" i="12" s="1"/>
  <c r="P60" i="12" s="1"/>
  <c r="Z71" i="12"/>
  <c r="AA71" i="12" s="1"/>
  <c r="P71" i="12" s="1"/>
  <c r="AH108" i="12"/>
  <c r="AS108" i="12"/>
  <c r="O120" i="12"/>
  <c r="AA120" i="12"/>
  <c r="P120" i="12" s="1"/>
  <c r="AG66" i="12"/>
  <c r="AI66" i="12" s="1"/>
  <c r="Z28" i="12"/>
  <c r="AA28" i="12" s="1"/>
  <c r="P28" i="12" s="1"/>
  <c r="Z29" i="12"/>
  <c r="O29" i="12" s="1"/>
  <c r="Z34" i="12"/>
  <c r="O34" i="12" s="1"/>
  <c r="AT36" i="12"/>
  <c r="Z14" i="12"/>
  <c r="AA14" i="12" s="1"/>
  <c r="P14" i="12" s="1"/>
  <c r="AT19" i="12"/>
  <c r="Z39" i="12"/>
  <c r="O39" i="12" s="1"/>
  <c r="AK44" i="12"/>
  <c r="AL44" i="12" s="1"/>
  <c r="AI10" i="12"/>
  <c r="AK58" i="12"/>
  <c r="AL58" i="12" s="1"/>
  <c r="Z106" i="12"/>
  <c r="AA106" i="12" s="1"/>
  <c r="P106" i="12" s="1"/>
  <c r="AP58" i="12"/>
  <c r="AI18" i="12"/>
  <c r="AP40" i="12"/>
  <c r="AT44" i="12"/>
  <c r="AT46" i="12"/>
  <c r="AT49" i="12"/>
  <c r="Z30" i="12"/>
  <c r="O30" i="12" s="1"/>
  <c r="Z62" i="12"/>
  <c r="O62" i="12" s="1"/>
  <c r="AK42" i="12"/>
  <c r="AL42" i="12" s="1"/>
  <c r="AT97" i="12"/>
  <c r="AA85" i="12"/>
  <c r="P85" i="12" s="1"/>
  <c r="AO48" i="12"/>
  <c r="AS92" i="12"/>
  <c r="AK46" i="12"/>
  <c r="AL46" i="12" s="1"/>
  <c r="AS45" i="12"/>
  <c r="AP89" i="12"/>
  <c r="AI108" i="12"/>
  <c r="AS49" i="12"/>
  <c r="O57" i="12"/>
  <c r="AA57" i="12"/>
  <c r="P57" i="12" s="1"/>
  <c r="AO65" i="12"/>
  <c r="AO39" i="12"/>
  <c r="AI8" i="12"/>
  <c r="AO82" i="12"/>
  <c r="AO97" i="12"/>
  <c r="AH120" i="12"/>
  <c r="AI109" i="12"/>
  <c r="O72" i="12"/>
  <c r="AA72" i="12"/>
  <c r="P72" i="12" s="1"/>
  <c r="O80" i="12"/>
  <c r="AA80" i="12"/>
  <c r="P80" i="12" s="1"/>
  <c r="AH52" i="12"/>
  <c r="AO52" i="12"/>
  <c r="AS52" i="12"/>
  <c r="AK37" i="12"/>
  <c r="AL37" i="12" s="1"/>
  <c r="AP32" i="12"/>
  <c r="AP29" i="12"/>
  <c r="AT37" i="12"/>
  <c r="AP16" i="12"/>
  <c r="AT17" i="12"/>
  <c r="AH26" i="12"/>
  <c r="AK96" i="12"/>
  <c r="AL96" i="12" s="1"/>
  <c r="AT84" i="12"/>
  <c r="AT115" i="12"/>
  <c r="AK79" i="12"/>
  <c r="AL79" i="12" s="1"/>
  <c r="AT89" i="12"/>
  <c r="AI17" i="12"/>
  <c r="AI92" i="12"/>
  <c r="AK51" i="12"/>
  <c r="AL51" i="12" s="1"/>
  <c r="AH51" i="12"/>
  <c r="AK50" i="12"/>
  <c r="AL50" i="12" s="1"/>
  <c r="AH50" i="12"/>
  <c r="AO50" i="12"/>
  <c r="AS50" i="12"/>
  <c r="AO117" i="12"/>
  <c r="AS117" i="12"/>
  <c r="AS42" i="12"/>
  <c r="AO115" i="12"/>
  <c r="AS115" i="12"/>
  <c r="AH115" i="12"/>
  <c r="AS88" i="12"/>
  <c r="AK49" i="12"/>
  <c r="AL49" i="12" s="1"/>
  <c r="AH49" i="12"/>
  <c r="AK43" i="12"/>
  <c r="AL43" i="12" s="1"/>
  <c r="AO43" i="12"/>
  <c r="AS43" i="12"/>
  <c r="AH43" i="12"/>
  <c r="AP37" i="12"/>
  <c r="AK52" i="12"/>
  <c r="AL52" i="12" s="1"/>
  <c r="AK63" i="12"/>
  <c r="AL63" i="12" s="1"/>
  <c r="AK80" i="12"/>
  <c r="AL80" i="12" s="1"/>
  <c r="AK88" i="12"/>
  <c r="AL88" i="12" s="1"/>
  <c r="AO49" i="12"/>
  <c r="O93" i="12"/>
  <c r="AA93" i="12"/>
  <c r="P93" i="12" s="1"/>
  <c r="AQ62" i="12"/>
  <c r="AH62" i="12"/>
  <c r="AS109" i="12"/>
  <c r="AH109" i="12"/>
  <c r="AP115" i="12"/>
  <c r="AO42" i="12"/>
  <c r="AO88" i="12"/>
  <c r="AR24" i="12"/>
  <c r="AK115" i="12"/>
  <c r="AL115" i="12" s="1"/>
  <c r="AI91" i="12"/>
  <c r="AK94" i="12"/>
  <c r="AL94" i="12" s="1"/>
  <c r="AT63" i="12"/>
  <c r="AT61" i="12"/>
  <c r="AI78" i="12"/>
  <c r="AR84" i="12"/>
  <c r="AK92" i="12"/>
  <c r="AL92" i="12" s="1"/>
  <c r="AO18" i="12"/>
  <c r="AO63" i="12"/>
  <c r="AS18" i="12"/>
  <c r="Z11" i="12"/>
  <c r="O11" i="12" s="1"/>
  <c r="AI98" i="12"/>
  <c r="AT87" i="12"/>
  <c r="AT111" i="12"/>
  <c r="K79" i="12"/>
  <c r="O75" i="12"/>
  <c r="P75" i="12"/>
  <c r="AK85" i="12"/>
  <c r="AI85" i="12"/>
  <c r="AS68" i="12"/>
  <c r="AH68" i="12"/>
  <c r="AO101" i="12"/>
  <c r="AS101" i="12"/>
  <c r="AP116" i="12"/>
  <c r="AT116" i="12"/>
  <c r="AI116" i="12"/>
  <c r="BD77" i="12"/>
  <c r="L77" i="12"/>
  <c r="O107" i="12"/>
  <c r="AA107" i="12"/>
  <c r="P107" i="12" s="1"/>
  <c r="AI106" i="12"/>
  <c r="AK61" i="12"/>
  <c r="AL61" i="12" s="1"/>
  <c r="AO61" i="12"/>
  <c r="AS61" i="12"/>
  <c r="AH61" i="12"/>
  <c r="AS58" i="12"/>
  <c r="AK111" i="12"/>
  <c r="AL111" i="12" s="1"/>
  <c r="AP95" i="12"/>
  <c r="AT118" i="12"/>
  <c r="AR111" i="12"/>
  <c r="BD79" i="12"/>
  <c r="L79" i="12"/>
  <c r="AH85" i="12"/>
  <c r="AO85" i="12"/>
  <c r="AS85" i="12"/>
  <c r="AH94" i="12"/>
  <c r="AS94" i="12"/>
  <c r="AK73" i="12"/>
  <c r="AL73" i="12" s="1"/>
  <c r="AH73" i="12"/>
  <c r="AO73" i="12"/>
  <c r="AS73" i="12"/>
  <c r="O95" i="12"/>
  <c r="AA95" i="12"/>
  <c r="P95" i="12" s="1"/>
  <c r="AH84" i="12"/>
  <c r="AS84" i="12"/>
  <c r="AK89" i="12"/>
  <c r="AL89" i="12" s="1"/>
  <c r="AO68" i="12"/>
  <c r="AT91" i="12"/>
  <c r="AP70" i="12"/>
  <c r="AK81" i="12"/>
  <c r="AI81" i="12"/>
  <c r="AP104" i="12"/>
  <c r="AT104" i="12"/>
  <c r="AI104" i="12"/>
  <c r="AK93" i="12"/>
  <c r="AI93" i="12"/>
  <c r="AO111" i="12"/>
  <c r="AH111" i="12"/>
  <c r="AS111" i="12"/>
  <c r="L101" i="12"/>
  <c r="AO84" i="12"/>
  <c r="O91" i="12"/>
  <c r="AA91" i="12"/>
  <c r="P91" i="12" s="1"/>
  <c r="AH37" i="12"/>
  <c r="AH67" i="12"/>
  <c r="AO67" i="12"/>
  <c r="AS67" i="12"/>
  <c r="AH81" i="12"/>
  <c r="AO81" i="12"/>
  <c r="AS81" i="12"/>
  <c r="L103" i="12"/>
  <c r="AK68" i="12"/>
  <c r="AI68" i="12"/>
  <c r="AH77" i="12"/>
  <c r="AO77" i="12"/>
  <c r="AS77" i="12"/>
  <c r="AO93" i="12"/>
  <c r="AS93" i="12"/>
  <c r="AH93" i="12"/>
  <c r="AS80" i="12"/>
  <c r="AK17" i="12"/>
  <c r="AL17" i="12" s="1"/>
  <c r="AO17" i="12"/>
  <c r="AH17" i="12"/>
  <c r="AS17" i="12"/>
  <c r="AO80" i="12"/>
  <c r="AO58" i="12"/>
  <c r="AO33" i="12"/>
  <c r="AS33" i="12"/>
  <c r="AS29" i="12"/>
  <c r="AO29" i="12"/>
  <c r="O94" i="12"/>
  <c r="AA94" i="12"/>
  <c r="P94" i="12" s="1"/>
  <c r="AK83" i="12"/>
  <c r="AO83" i="12"/>
  <c r="AH83" i="12"/>
  <c r="AS83" i="12"/>
  <c r="K102" i="12"/>
  <c r="AK105" i="12"/>
  <c r="AL105" i="12" s="1"/>
  <c r="AO105" i="12"/>
  <c r="AS105" i="12"/>
  <c r="AH105" i="12"/>
  <c r="AI117" i="12"/>
  <c r="AP117" i="12"/>
  <c r="AT117" i="12"/>
  <c r="AK124" i="12"/>
  <c r="AO124" i="12"/>
  <c r="AS124" i="12"/>
  <c r="AH124" i="12"/>
  <c r="AI110" i="12"/>
  <c r="AP110" i="12"/>
  <c r="O122" i="12"/>
  <c r="AA122" i="12"/>
  <c r="P122" i="12" s="1"/>
  <c r="AT83" i="12"/>
  <c r="AP91" i="12"/>
  <c r="AK87" i="12"/>
  <c r="AO87" i="12"/>
  <c r="AH87" i="12"/>
  <c r="AS87" i="12"/>
  <c r="AK121" i="12"/>
  <c r="AL121" i="12" s="1"/>
  <c r="AH121" i="12"/>
  <c r="AK110" i="12"/>
  <c r="AL110" i="12" s="1"/>
  <c r="AH110" i="12"/>
  <c r="AS122" i="12"/>
  <c r="AO122" i="12"/>
  <c r="AP66" i="12"/>
  <c r="AS76" i="12"/>
  <c r="AH76" i="12"/>
  <c r="AI114" i="12"/>
  <c r="AP114" i="12"/>
  <c r="AT114" i="12"/>
  <c r="AO121" i="12"/>
  <c r="AS121" i="12"/>
  <c r="AT90" i="12"/>
  <c r="AT24" i="12"/>
  <c r="L98" i="12"/>
  <c r="AK103" i="12"/>
  <c r="AL103" i="12" s="1"/>
  <c r="AH103" i="12"/>
  <c r="AI113" i="12"/>
  <c r="AP113" i="12"/>
  <c r="AT113" i="12"/>
  <c r="AQ99" i="12"/>
  <c r="AP90" i="12"/>
  <c r="AP14" i="12"/>
  <c r="AT15" i="12"/>
  <c r="AT10" i="12"/>
  <c r="BD78" i="12"/>
  <c r="L78" i="12"/>
  <c r="AK14" i="12"/>
  <c r="AL14" i="12" s="1"/>
  <c r="AS14" i="12"/>
  <c r="AH14" i="12"/>
  <c r="O45" i="12"/>
  <c r="AA45" i="12"/>
  <c r="P45" i="12" s="1"/>
  <c r="AK70" i="12"/>
  <c r="AO70" i="12"/>
  <c r="AS70" i="12"/>
  <c r="AH70" i="12"/>
  <c r="AK91" i="12"/>
  <c r="AO91" i="12"/>
  <c r="AS91" i="12"/>
  <c r="AH91" i="12"/>
  <c r="AO100" i="12"/>
  <c r="AS100" i="12"/>
  <c r="AK100" i="12"/>
  <c r="AL100" i="12" s="1"/>
  <c r="AH100" i="12"/>
  <c r="AK118" i="12"/>
  <c r="AL118" i="12" s="1"/>
  <c r="AH118" i="12"/>
  <c r="AK119" i="12"/>
  <c r="AL119" i="12" s="1"/>
  <c r="AV119" i="12" s="1"/>
  <c r="AO96" i="12"/>
  <c r="AS96" i="12"/>
  <c r="AT105" i="12"/>
  <c r="AP105" i="12"/>
  <c r="AI105" i="12"/>
  <c r="AO110" i="12"/>
  <c r="AS110" i="12"/>
  <c r="AT95" i="12"/>
  <c r="AP87" i="12"/>
  <c r="AK76" i="12"/>
  <c r="AR78" i="12"/>
  <c r="AK99" i="12"/>
  <c r="AP83" i="12"/>
  <c r="AK113" i="12"/>
  <c r="AL113" i="12" s="1"/>
  <c r="AH113" i="12"/>
  <c r="AQ103" i="12"/>
  <c r="AP118" i="12"/>
  <c r="L100" i="12"/>
  <c r="AO118" i="12"/>
  <c r="AS118" i="12"/>
  <c r="AP10" i="12"/>
  <c r="K78" i="12"/>
  <c r="AO66" i="12"/>
  <c r="AS66" i="12"/>
  <c r="AH66" i="12"/>
  <c r="AT32" i="12"/>
  <c r="AI25" i="12"/>
  <c r="AT16" i="12"/>
  <c r="AK95" i="12"/>
  <c r="AO95" i="12"/>
  <c r="AH95" i="12"/>
  <c r="AS95" i="12"/>
  <c r="AS25" i="12"/>
  <c r="AH25" i="12"/>
  <c r="AO90" i="12"/>
  <c r="AK90" i="12"/>
  <c r="AL90" i="12" s="1"/>
  <c r="AS90" i="12"/>
  <c r="AH90" i="12"/>
  <c r="AO106" i="12"/>
  <c r="AS106" i="12"/>
  <c r="L102" i="12"/>
  <c r="AP121" i="12"/>
  <c r="AT121" i="12"/>
  <c r="AI121" i="12"/>
  <c r="AR96" i="12"/>
  <c r="AI119" i="12"/>
  <c r="AT119" i="12"/>
  <c r="AH99" i="12"/>
  <c r="AR15" i="12"/>
  <c r="AO98" i="12"/>
  <c r="AS98" i="12"/>
  <c r="AK98" i="12"/>
  <c r="AL98" i="12" s="1"/>
  <c r="AH98" i="12"/>
  <c r="AQ76" i="12"/>
  <c r="AK114" i="12"/>
  <c r="AL114" i="12" s="1"/>
  <c r="AH114" i="12"/>
  <c r="AT96" i="12"/>
  <c r="O121" i="12"/>
  <c r="AA121" i="12"/>
  <c r="P121" i="12" s="1"/>
  <c r="AT70" i="12"/>
  <c r="AK22" i="12"/>
  <c r="AL22" i="12" s="1"/>
  <c r="AH22" i="12"/>
  <c r="AK12" i="12"/>
  <c r="AL12" i="12" s="1"/>
  <c r="AS12" i="12"/>
  <c r="AH12" i="12"/>
  <c r="AP9" i="12"/>
  <c r="AO11" i="12"/>
  <c r="AS11" i="12"/>
  <c r="AO9" i="12"/>
  <c r="AS9" i="12"/>
  <c r="AF8" i="12"/>
  <c r="AQ8" i="12" s="1"/>
  <c r="AK15" i="12"/>
  <c r="AL15" i="12" s="1"/>
  <c r="AH15" i="12"/>
  <c r="AQ12" i="12"/>
  <c r="AK19" i="12"/>
  <c r="AL19" i="12" s="1"/>
  <c r="AH19" i="12"/>
  <c r="AG9" i="12"/>
  <c r="AI9" i="12" s="1"/>
  <c r="O22" i="12"/>
  <c r="AA22" i="12"/>
  <c r="P22" i="12" s="1"/>
  <c r="Z9" i="12"/>
  <c r="AQ22" i="12"/>
  <c r="AK16" i="12"/>
  <c r="AL16" i="12" s="1"/>
  <c r="AH16" i="12"/>
  <c r="AS22" i="12"/>
  <c r="AS10" i="12"/>
  <c r="AO10" i="12"/>
  <c r="AT11" i="12"/>
  <c r="AP11" i="12"/>
  <c r="AO16" i="12"/>
  <c r="AS16" i="12"/>
  <c r="AS19" i="12"/>
  <c r="AO19" i="12"/>
  <c r="AH9" i="12"/>
  <c r="AK11" i="12"/>
  <c r="AL11" i="12" s="1"/>
  <c r="AH11" i="12"/>
  <c r="Z15" i="12"/>
  <c r="K15" i="12"/>
  <c r="Z8" i="12"/>
  <c r="K8" i="12"/>
  <c r="AK20" i="12"/>
  <c r="AL20" i="12" s="1"/>
  <c r="AH20" i="12"/>
  <c r="AS20" i="12"/>
  <c r="AQ15" i="12"/>
  <c r="AK28" i="12"/>
  <c r="AL28" i="12" s="1"/>
  <c r="AH28" i="12"/>
  <c r="AA36" i="12"/>
  <c r="P36" i="12" s="1"/>
  <c r="O36" i="12"/>
  <c r="Z33" i="12"/>
  <c r="L33" i="12"/>
  <c r="AR28" i="12"/>
  <c r="AK32" i="12"/>
  <c r="AL32" i="12" s="1"/>
  <c r="AH32" i="12"/>
  <c r="AS36" i="12"/>
  <c r="AO36" i="12"/>
  <c r="AK35" i="12"/>
  <c r="AL35" i="12" s="1"/>
  <c r="AH35" i="12"/>
  <c r="AS31" i="12"/>
  <c r="AO31" i="12"/>
  <c r="AK36" i="12"/>
  <c r="AL36" i="12" s="1"/>
  <c r="AH36" i="12"/>
  <c r="Z23" i="12"/>
  <c r="L23" i="12"/>
  <c r="AK31" i="12"/>
  <c r="AL31" i="12" s="1"/>
  <c r="AH31" i="12"/>
  <c r="AK24" i="12"/>
  <c r="AL24" i="12" s="1"/>
  <c r="AH24" i="12"/>
  <c r="AK23" i="12"/>
  <c r="AL23" i="12" s="1"/>
  <c r="AH23" i="12"/>
  <c r="AK27" i="12"/>
  <c r="AL27" i="12" s="1"/>
  <c r="AH27" i="12"/>
  <c r="Z25" i="12"/>
  <c r="L25" i="12"/>
  <c r="AO24" i="12"/>
  <c r="AS24" i="12"/>
  <c r="AS23" i="12"/>
  <c r="AO28" i="12"/>
  <c r="AS28" i="12"/>
  <c r="AQ36" i="12"/>
  <c r="AQ31" i="12"/>
  <c r="AQ24" i="12"/>
  <c r="AO27" i="12"/>
  <c r="AS27" i="12"/>
  <c r="AO32" i="12"/>
  <c r="AS32" i="12"/>
  <c r="AT28" i="12"/>
  <c r="AQ23" i="12"/>
  <c r="AQ27" i="12"/>
  <c r="O35" i="12" l="1"/>
  <c r="O101" i="12"/>
  <c r="AA70" i="12"/>
  <c r="P70" i="12" s="1"/>
  <c r="O27" i="12"/>
  <c r="AU27" i="12" s="1"/>
  <c r="AA11" i="12"/>
  <c r="P11" i="12" s="1"/>
  <c r="O58" i="12"/>
  <c r="AU58" i="12" s="1"/>
  <c r="AV74" i="12"/>
  <c r="AU53" i="12"/>
  <c r="O47" i="12"/>
  <c r="AU59" i="12"/>
  <c r="O74" i="12"/>
  <c r="AU74" i="12" s="1"/>
  <c r="AU30" i="12"/>
  <c r="AV59" i="12"/>
  <c r="AA42" i="12"/>
  <c r="P42" i="12" s="1"/>
  <c r="AV42" i="12" s="1"/>
  <c r="AV47" i="12"/>
  <c r="AA51" i="12"/>
  <c r="P51" i="12" s="1"/>
  <c r="O49" i="12"/>
  <c r="AU49" i="12" s="1"/>
  <c r="AA40" i="12"/>
  <c r="P40" i="12" s="1"/>
  <c r="AV40" i="12" s="1"/>
  <c r="AA43" i="12"/>
  <c r="P43" i="12" s="1"/>
  <c r="AV43" i="12" s="1"/>
  <c r="AA31" i="12"/>
  <c r="P31" i="12" s="1"/>
  <c r="AV31" i="12" s="1"/>
  <c r="AA50" i="12"/>
  <c r="P50" i="12" s="1"/>
  <c r="AV50" i="12" s="1"/>
  <c r="O96" i="12"/>
  <c r="AU96" i="12" s="1"/>
  <c r="AA65" i="12"/>
  <c r="P65" i="12" s="1"/>
  <c r="O83" i="12"/>
  <c r="AU83" i="12" s="1"/>
  <c r="AU39" i="12"/>
  <c r="AA82" i="12"/>
  <c r="P82" i="12" s="1"/>
  <c r="AA66" i="12"/>
  <c r="P66" i="12" s="1"/>
  <c r="AV56" i="12"/>
  <c r="AU47" i="12"/>
  <c r="AA48" i="12"/>
  <c r="P48" i="12" s="1"/>
  <c r="AV48" i="12" s="1"/>
  <c r="AV105" i="12"/>
  <c r="O76" i="12"/>
  <c r="AU76" i="12" s="1"/>
  <c r="AP124" i="12"/>
  <c r="AU86" i="12"/>
  <c r="AA39" i="12"/>
  <c r="P39" i="12" s="1"/>
  <c r="AV39" i="12" s="1"/>
  <c r="AA110" i="12"/>
  <c r="P110" i="12" s="1"/>
  <c r="AV110" i="12" s="1"/>
  <c r="AA20" i="12"/>
  <c r="P20" i="12" s="1"/>
  <c r="AV20" i="12" s="1"/>
  <c r="O55" i="12"/>
  <c r="AU55" i="12" s="1"/>
  <c r="AU122" i="12"/>
  <c r="AA46" i="12"/>
  <c r="P46" i="12" s="1"/>
  <c r="AV46" i="12" s="1"/>
  <c r="O21" i="12"/>
  <c r="AU21" i="12" s="1"/>
  <c r="AH78" i="12"/>
  <c r="AA53" i="12"/>
  <c r="P53" i="12" s="1"/>
  <c r="AV53" i="12" s="1"/>
  <c r="O106" i="12"/>
  <c r="AU106" i="12" s="1"/>
  <c r="AS113" i="12"/>
  <c r="AV104" i="12"/>
  <c r="AA19" i="12"/>
  <c r="P19" i="12" s="1"/>
  <c r="AV19" i="12" s="1"/>
  <c r="O16" i="12"/>
  <c r="AU16" i="12" s="1"/>
  <c r="O54" i="12"/>
  <c r="AU54" i="12" s="1"/>
  <c r="D20" i="13"/>
  <c r="O52" i="12"/>
  <c r="AU52" i="12" s="1"/>
  <c r="AA99" i="12"/>
  <c r="P99" i="12" s="1"/>
  <c r="O99" i="12"/>
  <c r="AU99" i="12" s="1"/>
  <c r="AO35" i="12"/>
  <c r="AA63" i="12"/>
  <c r="P63" i="12" s="1"/>
  <c r="AV63" i="12" s="1"/>
  <c r="AA17" i="12"/>
  <c r="P17" i="12" s="1"/>
  <c r="AV17" i="12" s="1"/>
  <c r="AA18" i="12"/>
  <c r="P18" i="12" s="1"/>
  <c r="AV18" i="12" s="1"/>
  <c r="AV45" i="12"/>
  <c r="O38" i="12"/>
  <c r="AA10" i="12"/>
  <c r="P10" i="12" s="1"/>
  <c r="AV10" i="12" s="1"/>
  <c r="AV122" i="12"/>
  <c r="AT76" i="12"/>
  <c r="AV12" i="12"/>
  <c r="AU101" i="12"/>
  <c r="O13" i="12"/>
  <c r="AU13" i="12" s="1"/>
  <c r="AP106" i="12"/>
  <c r="AK78" i="12"/>
  <c r="AL78" i="12" s="1"/>
  <c r="O81" i="12"/>
  <c r="AU81" i="12" s="1"/>
  <c r="O88" i="12"/>
  <c r="AU88" i="12" s="1"/>
  <c r="AV101" i="12"/>
  <c r="O92" i="12"/>
  <c r="AU92" i="12" s="1"/>
  <c r="AU10" i="12"/>
  <c r="AV13" i="12"/>
  <c r="AV107" i="12"/>
  <c r="AU75" i="12"/>
  <c r="AV58" i="12"/>
  <c r="AV89" i="12"/>
  <c r="AU46" i="12"/>
  <c r="O89" i="12"/>
  <c r="AU89" i="12" s="1"/>
  <c r="AA67" i="12"/>
  <c r="P67" i="12" s="1"/>
  <c r="AV67" i="12" s="1"/>
  <c r="AU34" i="12"/>
  <c r="AA73" i="12"/>
  <c r="P73" i="12" s="1"/>
  <c r="AV73" i="12" s="1"/>
  <c r="AH102" i="12"/>
  <c r="AU18" i="12"/>
  <c r="AA124" i="12"/>
  <c r="P124" i="12" s="1"/>
  <c r="AK38" i="12"/>
  <c r="AL38" i="12" s="1"/>
  <c r="AV38" i="12" s="1"/>
  <c r="AU97" i="12"/>
  <c r="AU121" i="12"/>
  <c r="AK102" i="12"/>
  <c r="AL102" i="12" s="1"/>
  <c r="AA113" i="12"/>
  <c r="P113" i="12" s="1"/>
  <c r="AV113" i="12" s="1"/>
  <c r="O113" i="12"/>
  <c r="AU113" i="12" s="1"/>
  <c r="AT123" i="12"/>
  <c r="AV57" i="12"/>
  <c r="AV123" i="12"/>
  <c r="AV21" i="12"/>
  <c r="AS114" i="12"/>
  <c r="AA90" i="12"/>
  <c r="P90" i="12" s="1"/>
  <c r="AV90" i="12" s="1"/>
  <c r="AA87" i="12"/>
  <c r="P87" i="12" s="1"/>
  <c r="AA41" i="12"/>
  <c r="P41" i="12" s="1"/>
  <c r="AV41" i="12" s="1"/>
  <c r="AU57" i="12"/>
  <c r="AU26" i="12"/>
  <c r="AV52" i="12"/>
  <c r="O28" i="12"/>
  <c r="AU28" i="12" s="1"/>
  <c r="O14" i="12"/>
  <c r="AU14" i="12" s="1"/>
  <c r="AV109" i="12"/>
  <c r="AU42" i="12"/>
  <c r="AA37" i="12"/>
  <c r="P37" i="12" s="1"/>
  <c r="AV37" i="12" s="1"/>
  <c r="AA34" i="12"/>
  <c r="P34" i="12" s="1"/>
  <c r="AV34" i="12" s="1"/>
  <c r="AA26" i="12"/>
  <c r="P26" i="12" s="1"/>
  <c r="AV26" i="12" s="1"/>
  <c r="O12" i="12"/>
  <c r="AU12" i="12" s="1"/>
  <c r="AA29" i="12"/>
  <c r="P29" i="12" s="1"/>
  <c r="AV29" i="12" s="1"/>
  <c r="AA30" i="12"/>
  <c r="P30" i="12" s="1"/>
  <c r="AV30" i="12" s="1"/>
  <c r="AA86" i="12"/>
  <c r="P86" i="12" s="1"/>
  <c r="AV86" i="12" s="1"/>
  <c r="AU107" i="12"/>
  <c r="AA112" i="12"/>
  <c r="P112" i="12" s="1"/>
  <c r="AV112" i="12" s="1"/>
  <c r="O32" i="12"/>
  <c r="AU32" i="12" s="1"/>
  <c r="AA24" i="12"/>
  <c r="P24" i="12" s="1"/>
  <c r="AV24" i="12" s="1"/>
  <c r="AA64" i="12"/>
  <c r="P64" i="12" s="1"/>
  <c r="AV64" i="12" s="1"/>
  <c r="AU61" i="12"/>
  <c r="AU84" i="12"/>
  <c r="AV106" i="12"/>
  <c r="AA61" i="12"/>
  <c r="P61" i="12" s="1"/>
  <c r="AV61" i="12" s="1"/>
  <c r="AA114" i="12"/>
  <c r="P114" i="12" s="1"/>
  <c r="AV114" i="12" s="1"/>
  <c r="AA118" i="12"/>
  <c r="P118" i="12" s="1"/>
  <c r="AV118" i="12" s="1"/>
  <c r="AU40" i="12"/>
  <c r="AU41" i="12"/>
  <c r="AU45" i="12"/>
  <c r="AA84" i="12"/>
  <c r="P84" i="12" s="1"/>
  <c r="AV84" i="12" s="1"/>
  <c r="O60" i="12"/>
  <c r="AU60" i="12" s="1"/>
  <c r="AO44" i="12"/>
  <c r="AU62" i="12"/>
  <c r="AV54" i="12"/>
  <c r="AV96" i="12"/>
  <c r="AU50" i="12"/>
  <c r="AU48" i="12"/>
  <c r="O56" i="12"/>
  <c r="AU56" i="12" s="1"/>
  <c r="AS54" i="12"/>
  <c r="AA68" i="12"/>
  <c r="P68" i="12" s="1"/>
  <c r="AU109" i="12"/>
  <c r="AT109" i="12"/>
  <c r="AU104" i="12"/>
  <c r="AA116" i="12"/>
  <c r="P116" i="12" s="1"/>
  <c r="AV116" i="12" s="1"/>
  <c r="O116" i="12"/>
  <c r="AU116" i="12" s="1"/>
  <c r="AU110" i="12"/>
  <c r="AA111" i="12"/>
  <c r="P111" i="12" s="1"/>
  <c r="AV111" i="12" s="1"/>
  <c r="AA117" i="12"/>
  <c r="P117" i="12" s="1"/>
  <c r="AV117" i="12" s="1"/>
  <c r="AU112" i="12"/>
  <c r="AA115" i="12"/>
  <c r="P115" i="12" s="1"/>
  <c r="AV115" i="12" s="1"/>
  <c r="O115" i="12"/>
  <c r="AU115" i="12" s="1"/>
  <c r="AQ54" i="12"/>
  <c r="AH54" i="12"/>
  <c r="AT66" i="12"/>
  <c r="AK66" i="12"/>
  <c r="AU66" i="12" s="1"/>
  <c r="AU67" i="12"/>
  <c r="AV72" i="12"/>
  <c r="AV71" i="12"/>
  <c r="AA69" i="12"/>
  <c r="P69" i="12" s="1"/>
  <c r="AV69" i="12" s="1"/>
  <c r="O69" i="12"/>
  <c r="AU69" i="12" s="1"/>
  <c r="AU72" i="12"/>
  <c r="AU123" i="12"/>
  <c r="AV49" i="12"/>
  <c r="AS65" i="12"/>
  <c r="AU29" i="12"/>
  <c r="AV94" i="12"/>
  <c r="AA62" i="12"/>
  <c r="P62" i="12" s="1"/>
  <c r="AV62" i="12" s="1"/>
  <c r="AV80" i="12"/>
  <c r="AU80" i="12"/>
  <c r="AU94" i="12"/>
  <c r="O71" i="12"/>
  <c r="AU71" i="12" s="1"/>
  <c r="AV92" i="12"/>
  <c r="AR66" i="12"/>
  <c r="AS38" i="12"/>
  <c r="AH38" i="12"/>
  <c r="AV120" i="12"/>
  <c r="AK82" i="12"/>
  <c r="AL82" i="12" s="1"/>
  <c r="AV22" i="12"/>
  <c r="AU43" i="12"/>
  <c r="AU105" i="12"/>
  <c r="AV88" i="12"/>
  <c r="AU120" i="12"/>
  <c r="O44" i="12"/>
  <c r="AU44" i="12" s="1"/>
  <c r="AA44" i="12"/>
  <c r="P44" i="12" s="1"/>
  <c r="AV44" i="12" s="1"/>
  <c r="AH65" i="12"/>
  <c r="AK65" i="12"/>
  <c r="AL65" i="12" s="1"/>
  <c r="AU63" i="12"/>
  <c r="AV60" i="12"/>
  <c r="X108" i="12"/>
  <c r="X2" i="12" s="1"/>
  <c r="L108" i="12"/>
  <c r="Z108" i="12"/>
  <c r="Z2" i="12" s="1"/>
  <c r="AP99" i="12"/>
  <c r="AT99" i="12"/>
  <c r="AQ82" i="12"/>
  <c r="AH82" i="12"/>
  <c r="AU111" i="12"/>
  <c r="AU73" i="12"/>
  <c r="AV51" i="12"/>
  <c r="AU37" i="12"/>
  <c r="AU19" i="12"/>
  <c r="AU51" i="12"/>
  <c r="AV75" i="12"/>
  <c r="AV121" i="12"/>
  <c r="P103" i="12"/>
  <c r="AV103" i="12" s="1"/>
  <c r="O103" i="12"/>
  <c r="AU103" i="12" s="1"/>
  <c r="AP101" i="12"/>
  <c r="AT101" i="12"/>
  <c r="AL93" i="12"/>
  <c r="AV93" i="12" s="1"/>
  <c r="AU93" i="12"/>
  <c r="AL81" i="12"/>
  <c r="AV81" i="12" s="1"/>
  <c r="AP77" i="12"/>
  <c r="AT77" i="12"/>
  <c r="O79" i="12"/>
  <c r="AU79" i="12" s="1"/>
  <c r="P79" i="12"/>
  <c r="AV79" i="12" s="1"/>
  <c r="AL68" i="12"/>
  <c r="AU68" i="12"/>
  <c r="O77" i="12"/>
  <c r="AU77" i="12" s="1"/>
  <c r="P77" i="12"/>
  <c r="AV77" i="12" s="1"/>
  <c r="AO79" i="12"/>
  <c r="AS79" i="12"/>
  <c r="AU17" i="12"/>
  <c r="AT103" i="12"/>
  <c r="AP103" i="12"/>
  <c r="AP79" i="12"/>
  <c r="AT79" i="12"/>
  <c r="AL85" i="12"/>
  <c r="AV85" i="12" s="1"/>
  <c r="AU85" i="12"/>
  <c r="AV28" i="12"/>
  <c r="AP100" i="12"/>
  <c r="AT100" i="12"/>
  <c r="AL70" i="12"/>
  <c r="AU70" i="12"/>
  <c r="O98" i="12"/>
  <c r="AU98" i="12" s="1"/>
  <c r="P98" i="12"/>
  <c r="AV98" i="12" s="1"/>
  <c r="AL124" i="12"/>
  <c r="AU124" i="12"/>
  <c r="AU22" i="12"/>
  <c r="AV14" i="12"/>
  <c r="D14" i="13"/>
  <c r="W2" i="12"/>
  <c r="AU119" i="12"/>
  <c r="AL99" i="12"/>
  <c r="AP78" i="12"/>
  <c r="AT78" i="12"/>
  <c r="AP98" i="12"/>
  <c r="AT98" i="12"/>
  <c r="AL87" i="12"/>
  <c r="AU87" i="12"/>
  <c r="D17" i="13"/>
  <c r="AU118" i="12"/>
  <c r="AP102" i="12"/>
  <c r="AT102" i="12"/>
  <c r="AV32" i="12"/>
  <c r="AU35" i="12"/>
  <c r="AL95" i="12"/>
  <c r="AV95" i="12" s="1"/>
  <c r="AU95" i="12"/>
  <c r="AO78" i="12"/>
  <c r="AS78" i="12"/>
  <c r="AL91" i="12"/>
  <c r="AV91" i="12" s="1"/>
  <c r="AU91" i="12"/>
  <c r="O102" i="12"/>
  <c r="P102" i="12"/>
  <c r="O78" i="12"/>
  <c r="P78" i="12"/>
  <c r="O100" i="12"/>
  <c r="AU100" i="12" s="1"/>
  <c r="P100" i="12"/>
  <c r="AV100" i="12" s="1"/>
  <c r="AL76" i="12"/>
  <c r="AV76" i="12" s="1"/>
  <c r="AU90" i="12"/>
  <c r="AU114" i="12"/>
  <c r="AO102" i="12"/>
  <c r="AS102" i="12"/>
  <c r="AL83" i="12"/>
  <c r="AV83" i="12" s="1"/>
  <c r="AA8" i="12"/>
  <c r="P8" i="12" s="1"/>
  <c r="O8" i="12"/>
  <c r="AU11" i="12"/>
  <c r="AS8" i="12"/>
  <c r="AO8" i="12"/>
  <c r="O9" i="12"/>
  <c r="AA9" i="12"/>
  <c r="P9" i="12" s="1"/>
  <c r="AS15" i="12"/>
  <c r="AO15" i="12"/>
  <c r="AV16" i="12"/>
  <c r="AV11" i="12"/>
  <c r="AT9" i="12"/>
  <c r="AA15" i="12"/>
  <c r="P15" i="12" s="1"/>
  <c r="AV15" i="12" s="1"/>
  <c r="O15" i="12"/>
  <c r="AU15" i="12" s="1"/>
  <c r="AK9" i="12"/>
  <c r="AL9" i="12" s="1"/>
  <c r="AR9" i="12"/>
  <c r="AK8" i="12"/>
  <c r="AL8" i="12" s="1"/>
  <c r="AH8" i="12"/>
  <c r="AU20" i="12"/>
  <c r="O23" i="12"/>
  <c r="AU23" i="12" s="1"/>
  <c r="AA23" i="12"/>
  <c r="P23" i="12" s="1"/>
  <c r="AV23" i="12" s="1"/>
  <c r="AU24" i="12"/>
  <c r="AP25" i="12"/>
  <c r="AT25" i="12"/>
  <c r="AV27" i="12"/>
  <c r="AU31" i="12"/>
  <c r="O25" i="12"/>
  <c r="AU25" i="12" s="1"/>
  <c r="AA25" i="12"/>
  <c r="P25" i="12" s="1"/>
  <c r="AV25" i="12" s="1"/>
  <c r="AP33" i="12"/>
  <c r="AT33" i="12"/>
  <c r="AU36" i="12"/>
  <c r="AP23" i="12"/>
  <c r="AT23" i="12"/>
  <c r="AV35" i="12"/>
  <c r="O33" i="12"/>
  <c r="AU33" i="12" s="1"/>
  <c r="AA33" i="12"/>
  <c r="P33" i="12" s="1"/>
  <c r="AV33" i="12" s="1"/>
  <c r="AV36" i="12"/>
  <c r="AV70" i="12" l="1"/>
  <c r="AV65" i="12"/>
  <c r="AV82" i="12"/>
  <c r="AV87" i="12"/>
  <c r="AV68" i="12"/>
  <c r="AV99" i="12"/>
  <c r="AV78" i="12"/>
  <c r="AU78" i="12"/>
  <c r="AV124" i="12"/>
  <c r="AU38" i="12"/>
  <c r="AV102" i="12"/>
  <c r="AU102" i="12"/>
  <c r="D18" i="13"/>
  <c r="D21" i="13" s="1"/>
  <c r="AL66" i="12"/>
  <c r="AV66" i="12" s="1"/>
  <c r="AU82" i="12"/>
  <c r="Z1" i="12"/>
  <c r="AA2" i="12" s="1"/>
  <c r="AT108" i="12"/>
  <c r="AP108" i="12"/>
  <c r="AU65" i="12"/>
  <c r="O108" i="12"/>
  <c r="AU108" i="12" s="1"/>
  <c r="AA108" i="12"/>
  <c r="P108" i="12" s="1"/>
  <c r="AV108" i="12" s="1"/>
  <c r="AU9" i="12"/>
  <c r="AV9" i="12"/>
  <c r="AU8" i="12"/>
  <c r="AV8" i="12"/>
  <c r="AU2" i="12" l="1"/>
</calcChain>
</file>

<file path=xl/comments1.xml><?xml version="1.0" encoding="utf-8"?>
<comments xmlns="http://schemas.openxmlformats.org/spreadsheetml/2006/main">
  <authors>
    <author>Marcos Cisterna</author>
  </authors>
  <commentList>
    <comment ref="T98" authorId="0" shapeId="0">
      <text>
        <r>
          <rPr>
            <b/>
            <sz val="9"/>
            <color indexed="81"/>
            <rFont val="Tahoma"/>
            <charset val="1"/>
          </rPr>
          <t>Marcos Cisterna:</t>
        </r>
        <r>
          <rPr>
            <sz val="9"/>
            <color indexed="81"/>
            <rFont val="Tahoma"/>
            <charset val="1"/>
          </rPr>
          <t xml:space="preserve">
Precios de Agosto, requiere reliquidacion</t>
        </r>
      </text>
    </comment>
  </commentList>
</comments>
</file>

<file path=xl/sharedStrings.xml><?xml version="1.0" encoding="utf-8"?>
<sst xmlns="http://schemas.openxmlformats.org/spreadsheetml/2006/main" count="1108" uniqueCount="168">
  <si>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</si>
  <si>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</si>
  <si>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</si>
  <si>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</si>
  <si>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</si>
  <si>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</si>
  <si>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</si>
  <si>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</si>
  <si>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</si>
  <si>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</si>
  <si>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</si>
  <si>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</si>
  <si>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</si>
  <si>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</si>
  <si>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</si>
  <si>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</si>
  <si>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</si>
  <si>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</si>
  <si>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</si>
  <si>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</si>
  <si>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</si>
  <si>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</si>
  <si>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</si>
  <si>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</si>
  <si>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</si>
  <si>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</si>
  <si>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</si>
  <si>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</si>
  <si>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</si>
  <si>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</si>
  <si>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</si>
  <si>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</si>
  <si>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</si>
  <si>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</si>
  <si>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</si>
  <si>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</si>
  <si>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</si>
  <si>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</si>
  <si>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</si>
  <si>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</si>
  <si>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</si>
  <si>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</si>
  <si>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</si>
  <si>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</si>
  <si>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</si>
  <si>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</si>
  <si>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</si>
  <si>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</si>
  <si>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</si>
  <si>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</si>
  <si>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</si>
  <si>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</si>
  <si>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</si>
  <si>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</si>
  <si>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</si>
  <si>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</si>
  <si>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</si>
  <si>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</si>
  <si>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</si>
  <si>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</si>
  <si>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</si>
  <si>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</si>
  <si>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</si>
  <si>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</si>
  <si>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</si>
  <si>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</si>
  <si>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</si>
  <si>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</si>
  <si>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</si>
  <si>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</si>
  <si>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</si>
  <si>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</si>
  <si>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</si>
  <si>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</si>
  <si>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</si>
  <si>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</si>
  <si>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</si>
  <si>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</si>
  <si>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</si>
  <si>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</si>
  <si>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</si>
  <si>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</si>
  <si>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</si>
  <si>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</si>
  <si>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</si>
  <si>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</si>
  <si>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</si>
  <si>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</si>
  <si>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</si>
  <si>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</si>
  <si>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</si>
  <si>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</si>
  <si>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</si>
  <si>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</si>
  <si>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</si>
  <si>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</si>
  <si>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</si>
  <si>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</si>
  <si>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</si>
  <si>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</si>
  <si>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</si>
  <si>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</si>
  <si>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</si>
  <si>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</si>
  <si>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</si>
  <si>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</si>
  <si>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</si>
  <si>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</si>
  <si>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</si>
  <si>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</si>
  <si>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</si>
  <si>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</si>
  <si>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</si>
  <si>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</si>
  <si>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</si>
  <si>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</si>
  <si>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</si>
  <si>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</si>
  <si>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</si>
  <si>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</si>
  <si>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</si>
  <si>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</si>
  <si>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</si>
  <si>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</si>
  <si>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</si>
  <si>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</si>
  <si>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</si>
  <si>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</si>
  <si>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</si>
  <si>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</si>
  <si>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</si>
  <si>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</si>
  <si>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</si>
  <si>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</si>
  <si>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</si>
  <si>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</si>
  <si>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</si>
  <si>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</si>
  <si>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 xml:space="preserve">Potencia </t>
  </si>
  <si>
    <t>Energía</t>
  </si>
  <si>
    <t>Reactivos</t>
  </si>
  <si>
    <t>Información Enviada</t>
  </si>
  <si>
    <t>Reporte a CNE</t>
  </si>
  <si>
    <t>Distribuidora</t>
  </si>
  <si>
    <t>Conafe</t>
  </si>
  <si>
    <t>Cooprel</t>
  </si>
  <si>
    <t>Copelec</t>
  </si>
  <si>
    <t>Crell</t>
  </si>
  <si>
    <t>Elecda SIC</t>
  </si>
  <si>
    <t>Luz Osorno</t>
  </si>
  <si>
    <t>Los Ciruelos 220</t>
  </si>
  <si>
    <t>Luzlinares</t>
  </si>
  <si>
    <t>Luzparral</t>
  </si>
  <si>
    <t>BS4A</t>
  </si>
  <si>
    <t>BS4B</t>
  </si>
  <si>
    <t>BS4C</t>
  </si>
  <si>
    <t>Suma</t>
  </si>
  <si>
    <t>Total</t>
  </si>
  <si>
    <t>Enviado</t>
  </si>
  <si>
    <t>Facturación esperada</t>
  </si>
  <si>
    <t>Diferencias</t>
  </si>
  <si>
    <t>Reliquidaciones</t>
  </si>
  <si>
    <t>Proceso</t>
  </si>
  <si>
    <t>Row Labels</t>
  </si>
  <si>
    <t>Grand Total</t>
  </si>
  <si>
    <t>Column Labels</t>
  </si>
  <si>
    <t>Sum of [MWh]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</si>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</sst>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_-* #,##0_-;\-* #,##0_-;_-* &quot;-&quot;??_-;_-@_-"/>
    <numFmt numFmtId="166" formatCode="#,##0.0"/>
    <numFmt numFmtId="167" formatCode="_-* #,##0.000_-;\-* #,##0.000_-;_-* &quot;-&quot;??_-;_-@_-"/>
    <numFmt numFmtId="169" formatCode="_-* #,##0.0_-;\-* #,##0.0_-;_-* &quot;-&quot;??_-;_-@_-"/>
    <numFmt numFmtId="170" formatCode="#,##0.000000"/>
  </numFmts>
  <fonts count="12"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theme="1"/>
      <name val="Arial"/>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rgb="FFFF0000"/>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theme="4" tint="0.39997558519241921"/>
      </bottom>
      <diagonal/>
    </border>
    <border>
      <left/>
      <right/>
      <top style="thin">
        <color theme="4" tint="0.39997558519241921"/>
      </top>
      <bottom/>
      <diagonal/>
    </border>
  </borders>
  <cellStyleXfs count="7">
    <xf numFmtId="0" fontId="0" fillId="0" borderId="0"/>
    <xf numFmtId="0" fontId="3" fillId="0" borderId="0"/>
    <xf numFmtId="43"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43" fontId="8" fillId="0" borderId="0" applyFont="0" applyFill="0" applyBorder="0" applyAlignment="0" applyProtection="0"/>
  </cellStyleXfs>
  <cellXfs count="91">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5" fillId="3" borderId="0" xfId="0" applyFont="1" applyFill="1"/>
    <xf numFmtId="0" fontId="0" fillId="0" borderId="5" xfId="0" applyFill="1" applyBorder="1" applyAlignment="1">
      <alignment horizontal="center"/>
    </xf>
    <xf numFmtId="166" fontId="5" fillId="2" borderId="7" xfId="0" applyNumberFormat="1" applyFont="1" applyFill="1" applyBorder="1" applyAlignment="1">
      <alignment horizontal="right"/>
    </xf>
    <xf numFmtId="166" fontId="5" fillId="4" borderId="7" xfId="0" applyNumberFormat="1" applyFont="1" applyFill="1" applyBorder="1" applyAlignment="1">
      <alignment horizontal="right"/>
    </xf>
    <xf numFmtId="164" fontId="5" fillId="2" borderId="7" xfId="0" applyNumberFormat="1" applyFont="1" applyFill="1" applyBorder="1" applyAlignment="1">
      <alignment horizontal="right"/>
    </xf>
    <xf numFmtId="164" fontId="5" fillId="0" borderId="7" xfId="0" applyNumberFormat="1" applyFont="1" applyFill="1" applyBorder="1" applyAlignment="1">
      <alignment horizontal="right"/>
    </xf>
    <xf numFmtId="166" fontId="5" fillId="0" borderId="7" xfId="0" applyNumberFormat="1" applyFont="1" applyFill="1" applyBorder="1" applyAlignment="1">
      <alignment horizontal="right"/>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166" fontId="5" fillId="2" borderId="0" xfId="0" applyNumberFormat="1" applyFont="1" applyFill="1"/>
    <xf numFmtId="164" fontId="5" fillId="2" borderId="0" xfId="0" applyNumberFormat="1" applyFont="1" applyFill="1"/>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0" fontId="6" fillId="0" borderId="5" xfId="0" applyFont="1" applyFill="1" applyBorder="1" applyAlignment="1">
      <alignment horizontal="center"/>
    </xf>
    <xf numFmtId="0" fontId="7" fillId="0" borderId="7" xfId="0" applyFont="1" applyFill="1" applyBorder="1" applyAlignment="1">
      <alignment horizontal="center"/>
    </xf>
    <xf numFmtId="165" fontId="6" fillId="0" borderId="8" xfId="2" applyNumberFormat="1" applyFont="1" applyBorder="1"/>
    <xf numFmtId="0" fontId="7" fillId="0" borderId="2" xfId="0" applyFont="1" applyBorder="1"/>
    <xf numFmtId="165" fontId="6" fillId="0" borderId="2" xfId="2" applyNumberFormat="1" applyFont="1" applyBorder="1"/>
    <xf numFmtId="169" fontId="5" fillId="2" borderId="7" xfId="2" applyNumberFormat="1" applyFont="1" applyFill="1" applyBorder="1" applyAlignment="1">
      <alignment horizontal="center"/>
    </xf>
    <xf numFmtId="169" fontId="5" fillId="2" borderId="7" xfId="0" applyNumberFormat="1" applyFont="1" applyFill="1" applyBorder="1" applyAlignment="1">
      <alignment horizontal="center"/>
    </xf>
    <xf numFmtId="4" fontId="5" fillId="2" borderId="0" xfId="0" applyNumberFormat="1" applyFont="1" applyFill="1"/>
    <xf numFmtId="169" fontId="5" fillId="2" borderId="0" xfId="2" applyNumberFormat="1" applyFont="1" applyFill="1" applyAlignment="1">
      <alignment horizontal="center"/>
    </xf>
    <xf numFmtId="0" fontId="0" fillId="0" borderId="0" xfId="0" pivotButton="1"/>
    <xf numFmtId="0" fontId="0" fillId="0" borderId="0" xfId="0" applyAlignment="1">
      <alignment horizontal="left"/>
    </xf>
    <xf numFmtId="0" fontId="9" fillId="6" borderId="10" xfId="0" applyFont="1" applyFill="1" applyBorder="1" applyAlignment="1">
      <alignment horizontal="left"/>
    </xf>
    <xf numFmtId="0" fontId="9" fillId="6" borderId="0" xfId="0" applyFont="1" applyFill="1"/>
    <xf numFmtId="0" fontId="9" fillId="6" borderId="9" xfId="0" applyFont="1" applyFill="1" applyBorder="1"/>
    <xf numFmtId="169" fontId="0" fillId="0" borderId="0" xfId="0" applyNumberFormat="1"/>
    <xf numFmtId="169" fontId="9" fillId="6" borderId="10" xfId="0" applyNumberFormat="1" applyFont="1" applyFill="1" applyBorder="1"/>
    <xf numFmtId="169" fontId="0" fillId="5" borderId="0" xfId="0" applyNumberFormat="1" applyFill="1"/>
    <xf numFmtId="0" fontId="0" fillId="0" borderId="0" xfId="0" applyAlignment="1">
      <alignment horizontal="left" indent="1"/>
    </xf>
    <xf numFmtId="169" fontId="9" fillId="5" borderId="9" xfId="0" applyNumberFormat="1" applyFont="1" applyFill="1" applyBorder="1"/>
    <xf numFmtId="169" fontId="9" fillId="2" borderId="9" xfId="0" applyNumberFormat="1" applyFont="1" applyFill="1" applyBorder="1"/>
    <xf numFmtId="169" fontId="0" fillId="2" borderId="0" xfId="0" applyNumberFormat="1" applyFill="1"/>
    <xf numFmtId="0" fontId="9" fillId="2" borderId="9" xfId="0" applyFont="1" applyFill="1" applyBorder="1" applyAlignment="1">
      <alignment horizontal="left"/>
    </xf>
    <xf numFmtId="0" fontId="0" fillId="2" borderId="0" xfId="0" applyFill="1" applyAlignment="1">
      <alignment horizontal="left" indent="1"/>
    </xf>
    <xf numFmtId="165" fontId="0" fillId="0" borderId="0" xfId="0" applyNumberFormat="1"/>
    <xf numFmtId="170" fontId="5" fillId="4" borderId="7" xfId="0" applyNumberFormat="1" applyFont="1" applyFill="1" applyBorder="1" applyAlignment="1">
      <alignment horizontal="right"/>
    </xf>
    <xf numFmtId="0" fontId="0" fillId="5" borderId="5" xfId="0" applyFill="1" applyBorder="1" applyAlignment="1">
      <alignment horizontal="center"/>
    </xf>
    <xf numFmtId="0" fontId="0" fillId="7" borderId="5" xfId="0" applyFill="1" applyBorder="1" applyAlignment="1">
      <alignment horizontal="center"/>
    </xf>
    <xf numFmtId="166" fontId="5" fillId="8" borderId="7" xfId="0" applyNumberFormat="1" applyFont="1" applyFill="1" applyBorder="1" applyAlignment="1">
      <alignment horizontal="right"/>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24">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color rgb="FF006100"/>
      </font>
      <fill>
        <patternFill>
          <bgColor rgb="FFC6EFCE"/>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numFmt numFmtId="169" formatCode="_-* #,##0.0_-;\-* #,##0.0_-;_-* &quot;-&quot;??_-;_-@_-"/>
    </dxf>
    <dxf>
      <numFmt numFmtId="165" formatCode="_-* #,##0_-;\-* #,##0_-;_-* &quot;-&quot;??_-;_-@_-"/>
    </dxf>
    <dxf>
      <numFmt numFmtId="169" formatCode="_-* #,##0.0_-;\-* #,##0.0_-;_-* &quot;-&quot;??_-;_-@_-"/>
    </dxf>
    <dxf>
      <numFmt numFmtId="35" formatCode="_-* #,##0.00_-;\-* #,##0.00_-;_-* &quot;-&quot;??_-;_-@_-"/>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pivotCacheDefinition" Target="pivotCache/pivotCacheDefinition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9_sep/v1/2017-10-11%20Informe_facturacion_EMEL-SIC_09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9_sep/Reliquidaci&#243;n%20prorrata%20AGOSTO%20201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9_sep/FC_Sep17_12-10-201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9_sep/FC%20ago17_13092017_Reliq%20FA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0Mercado%20y%20Regulacion/13.%20Facturacion%20Dx/12.%20Precios/2017/07_jul/Estimaci&#243;n%20Dda%20y%20precios%20Jul17_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5.%20Copelec/2017/09_sep/1709-COPELEC.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3.%20Cooprel/2017/09_sep/FACTURACION%20COOPREL_SEPTIEMBRE%202017_AELA%20GENERACION_%20LIC2015_02_02_.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LUZOSEP1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4.%20Crell/2017/09_sep/1709-CREL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Mercado%20y%20Regulacion/13.%20Facturacion%20Dx/12.%20Precios/2017/09_sep/Estimaci&#243;n%20Dda%20y%20precios%20Sep17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9_sep/v1/2017-10-11%20Reliquidacion%20EMEL-SIC%200817(FA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9_sep/v1/2017-10-11%20Informe_facturacion_CONAFE_09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9_sep/v1/2017-10-11%20Reliquidacion%20CONAFE_0817(FA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SAESSEP1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diner/2017/09_sep/Prorratas_precios_valor%20factura_%2009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FRONSEP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2.%20Coopelan/2017/09_sep/Prorrata%20suministro%20SEPTIEMBR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SEP17"/>
      <sheetName val="MONTOS A FACTURAR"/>
      <sheetName val="MONTOS PENDIENTES"/>
    </sheetNames>
    <sheetDataSet>
      <sheetData sheetId="0">
        <row r="10">
          <cell r="K10">
            <v>44801</v>
          </cell>
          <cell r="L10">
            <v>0</v>
          </cell>
          <cell r="O10">
            <v>2118863</v>
          </cell>
          <cell r="P10">
            <v>0</v>
          </cell>
          <cell r="Q10">
            <v>0</v>
          </cell>
          <cell r="R10">
            <v>2118863</v>
          </cell>
        </row>
        <row r="16">
          <cell r="K16">
            <v>48094</v>
          </cell>
          <cell r="L16">
            <v>0</v>
          </cell>
          <cell r="O16">
            <v>2274606</v>
          </cell>
          <cell r="P16">
            <v>0</v>
          </cell>
          <cell r="Q16">
            <v>0</v>
          </cell>
          <cell r="R16">
            <v>2274606</v>
          </cell>
        </row>
        <row r="22">
          <cell r="K22">
            <v>30794</v>
          </cell>
          <cell r="L22">
            <v>249</v>
          </cell>
          <cell r="O22">
            <v>1456402</v>
          </cell>
          <cell r="P22">
            <v>1410757</v>
          </cell>
          <cell r="Q22">
            <v>0</v>
          </cell>
          <cell r="R22">
            <v>2867159</v>
          </cell>
        </row>
        <row r="63">
          <cell r="K63">
            <v>125696</v>
          </cell>
          <cell r="L63">
            <v>0</v>
          </cell>
          <cell r="O63">
            <v>5987152</v>
          </cell>
          <cell r="P63">
            <v>0</v>
          </cell>
          <cell r="Q63">
            <v>0</v>
          </cell>
          <cell r="R63">
            <v>5987152</v>
          </cell>
        </row>
        <row r="64">
          <cell r="K64">
            <v>12462</v>
          </cell>
          <cell r="L64">
            <v>0</v>
          </cell>
          <cell r="O64">
            <v>589390</v>
          </cell>
          <cell r="P64">
            <v>0</v>
          </cell>
          <cell r="Q64">
            <v>0</v>
          </cell>
          <cell r="R64">
            <v>589390</v>
          </cell>
        </row>
        <row r="65">
          <cell r="K65">
            <v>29626</v>
          </cell>
          <cell r="L65">
            <v>0</v>
          </cell>
          <cell r="O65">
            <v>1374409</v>
          </cell>
          <cell r="P65">
            <v>0</v>
          </cell>
          <cell r="Q65">
            <v>0</v>
          </cell>
          <cell r="R65">
            <v>1374409</v>
          </cell>
        </row>
        <row r="66">
          <cell r="K66">
            <v>277</v>
          </cell>
          <cell r="L66">
            <v>0</v>
          </cell>
          <cell r="O66">
            <v>14763</v>
          </cell>
          <cell r="P66">
            <v>0</v>
          </cell>
          <cell r="Q66">
            <v>0</v>
          </cell>
          <cell r="R66">
            <v>14763</v>
          </cell>
        </row>
        <row r="87">
          <cell r="K87">
            <v>156425</v>
          </cell>
          <cell r="L87">
            <v>0</v>
          </cell>
          <cell r="O87">
            <v>7450836</v>
          </cell>
          <cell r="P87">
            <v>0</v>
          </cell>
          <cell r="Q87">
            <v>0</v>
          </cell>
          <cell r="R87">
            <v>7450836</v>
          </cell>
        </row>
        <row r="88">
          <cell r="K88">
            <v>13628</v>
          </cell>
          <cell r="L88">
            <v>0</v>
          </cell>
          <cell r="O88">
            <v>644536</v>
          </cell>
          <cell r="P88">
            <v>0</v>
          </cell>
          <cell r="Q88">
            <v>3086</v>
          </cell>
          <cell r="R88">
            <v>647622</v>
          </cell>
        </row>
        <row r="89">
          <cell r="K89">
            <v>35833</v>
          </cell>
          <cell r="L89">
            <v>0</v>
          </cell>
          <cell r="O89">
            <v>1662365</v>
          </cell>
          <cell r="P89">
            <v>0</v>
          </cell>
          <cell r="Q89">
            <v>3614</v>
          </cell>
          <cell r="R89">
            <v>1665979</v>
          </cell>
        </row>
        <row r="90">
          <cell r="K90">
            <v>178</v>
          </cell>
          <cell r="L90">
            <v>0</v>
          </cell>
          <cell r="O90">
            <v>9487</v>
          </cell>
          <cell r="P90">
            <v>0</v>
          </cell>
          <cell r="Q90">
            <v>3724</v>
          </cell>
          <cell r="R90">
            <v>13211</v>
          </cell>
        </row>
        <row r="111">
          <cell r="K111">
            <v>70546</v>
          </cell>
          <cell r="L111">
            <v>579</v>
          </cell>
          <cell r="O111">
            <v>3360247</v>
          </cell>
          <cell r="P111">
            <v>3418370</v>
          </cell>
          <cell r="Q111">
            <v>0</v>
          </cell>
          <cell r="R111">
            <v>6778617</v>
          </cell>
        </row>
        <row r="112">
          <cell r="K112">
            <v>8133</v>
          </cell>
          <cell r="L112">
            <v>62</v>
          </cell>
          <cell r="O112">
            <v>384650</v>
          </cell>
          <cell r="P112">
            <v>351273</v>
          </cell>
          <cell r="Q112">
            <v>386</v>
          </cell>
          <cell r="R112">
            <v>736309</v>
          </cell>
        </row>
        <row r="113">
          <cell r="K113">
            <v>21008</v>
          </cell>
          <cell r="L113">
            <v>172</v>
          </cell>
          <cell r="O113">
            <v>974603</v>
          </cell>
          <cell r="P113">
            <v>968096</v>
          </cell>
          <cell r="Q113">
            <v>0</v>
          </cell>
          <cell r="R113">
            <v>1942699</v>
          </cell>
        </row>
        <row r="114">
          <cell r="K114">
            <v>164</v>
          </cell>
          <cell r="L114">
            <v>1</v>
          </cell>
          <cell r="O114">
            <v>8741</v>
          </cell>
          <cell r="P114">
            <v>5538</v>
          </cell>
          <cell r="Q114">
            <v>24</v>
          </cell>
          <cell r="R114">
            <v>14303</v>
          </cell>
        </row>
      </sheetData>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liquidación prorrata AGOSTO 2"/>
    </sheetNames>
    <sheetDataSet>
      <sheetData sheetId="0">
        <row r="99">
          <cell r="C99">
            <v>558.91981000002124</v>
          </cell>
          <cell r="F99">
            <v>5.2102400000001126</v>
          </cell>
        </row>
        <row r="103">
          <cell r="D103">
            <v>774.15664000000106</v>
          </cell>
          <cell r="G103">
            <v>7.4975300000000971</v>
          </cell>
        </row>
        <row r="105">
          <cell r="E105">
            <v>451.60451000000467</v>
          </cell>
          <cell r="H105">
            <v>4.1602600000001075</v>
          </cell>
          <cell r="I105">
            <v>2.0974760254650846</v>
          </cell>
          <cell r="J105">
            <v>1.9322315132582979E-2</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_D3T"/>
      <sheetName val="PLICI_D5T"/>
      <sheetName val="ICNE"/>
      <sheetName val="POT"/>
      <sheetName val="Fp"/>
      <sheetName val="B2017"/>
      <sheetName val="CNE147"/>
      <sheetName val="CDECContratos"/>
      <sheetName val="Contactos"/>
      <sheetName val="Resumen"/>
    </sheetNames>
    <sheetDataSet>
      <sheetData sheetId="0"/>
      <sheetData sheetId="1">
        <row r="467">
          <cell r="G467">
            <v>54450.512387291034</v>
          </cell>
          <cell r="H467">
            <v>0</v>
          </cell>
          <cell r="I467">
            <v>2890668.8016165067</v>
          </cell>
          <cell r="J467">
            <v>0</v>
          </cell>
          <cell r="K467">
            <v>0</v>
          </cell>
        </row>
        <row r="468">
          <cell r="G468">
            <v>40133.235120843725</v>
          </cell>
          <cell r="H468">
            <v>0</v>
          </cell>
          <cell r="I468">
            <v>2041818.4700080452</v>
          </cell>
          <cell r="J468">
            <v>0</v>
          </cell>
          <cell r="K468">
            <v>0</v>
          </cell>
        </row>
        <row r="469">
          <cell r="G469">
            <v>21300.383212327415</v>
          </cell>
          <cell r="H469">
            <v>0</v>
          </cell>
          <cell r="I469">
            <v>1140252.1141223111</v>
          </cell>
          <cell r="J469">
            <v>0</v>
          </cell>
          <cell r="K469">
            <v>16.869603823079569</v>
          </cell>
          <cell r="M469">
            <v>6072756.2553506857</v>
          </cell>
        </row>
        <row r="497">
          <cell r="G497">
            <v>74610.476825134669</v>
          </cell>
          <cell r="H497">
            <v>0</v>
          </cell>
          <cell r="I497">
            <v>3960920.9936927492</v>
          </cell>
          <cell r="J497">
            <v>0</v>
          </cell>
          <cell r="K497">
            <v>0</v>
          </cell>
        </row>
        <row r="498">
          <cell r="G498">
            <v>56405.124075796695</v>
          </cell>
          <cell r="H498">
            <v>0</v>
          </cell>
          <cell r="I498">
            <v>2869667.0924802325</v>
          </cell>
          <cell r="J498">
            <v>0</v>
          </cell>
          <cell r="K498">
            <v>0</v>
          </cell>
        </row>
        <row r="499">
          <cell r="G499">
            <v>28479.542688761168</v>
          </cell>
          <cell r="H499">
            <v>0</v>
          </cell>
          <cell r="I499">
            <v>1524566.8792147627</v>
          </cell>
          <cell r="J499">
            <v>0</v>
          </cell>
          <cell r="K499">
            <v>25.08173447181899</v>
          </cell>
          <cell r="M499">
            <v>8355180.0471222159</v>
          </cell>
        </row>
        <row r="530">
          <cell r="G530">
            <v>32682.222824949364</v>
          </cell>
          <cell r="H530">
            <v>58.323727170275326</v>
          </cell>
          <cell r="I530">
            <v>1735033.8453309119</v>
          </cell>
          <cell r="J530">
            <v>319535.87109870062</v>
          </cell>
          <cell r="K530">
            <v>0</v>
          </cell>
        </row>
        <row r="531">
          <cell r="G531">
            <v>27135.684829273334</v>
          </cell>
          <cell r="H531">
            <v>48.425539689819715</v>
          </cell>
          <cell r="I531">
            <v>1380555.10137411</v>
          </cell>
          <cell r="J531">
            <v>255815.17724242609</v>
          </cell>
          <cell r="K531">
            <v>0</v>
          </cell>
        </row>
        <row r="532">
          <cell r="G532">
            <v>11283.22189936613</v>
          </cell>
          <cell r="H532">
            <v>20.135703718350907</v>
          </cell>
          <cell r="I532">
            <v>604013.43471686763</v>
          </cell>
          <cell r="J532">
            <v>112392.06151583081</v>
          </cell>
          <cell r="K532">
            <v>12.77243912089051</v>
          </cell>
          <cell r="M532">
            <v>4407358.263717968</v>
          </cell>
        </row>
        <row r="573">
          <cell r="G573">
            <v>3343.7192169221289</v>
          </cell>
          <cell r="H573">
            <v>0</v>
          </cell>
          <cell r="I573">
            <v>177511.36578796199</v>
          </cell>
          <cell r="J573">
            <v>0</v>
          </cell>
          <cell r="K573">
            <v>0</v>
          </cell>
        </row>
        <row r="574">
          <cell r="G574">
            <v>7671.5601543930225</v>
          </cell>
          <cell r="H574">
            <v>0</v>
          </cell>
          <cell r="I574">
            <v>390298.29441489937</v>
          </cell>
          <cell r="J574">
            <v>0</v>
          </cell>
          <cell r="K574">
            <v>0</v>
          </cell>
        </row>
        <row r="575">
          <cell r="G575">
            <v>2199.1930071855745</v>
          </cell>
          <cell r="H575">
            <v>0</v>
          </cell>
          <cell r="I575">
            <v>117727.20006065817</v>
          </cell>
          <cell r="J575">
            <v>0</v>
          </cell>
          <cell r="K575">
            <v>0</v>
          </cell>
          <cell r="M575">
            <v>685536.86026351945</v>
          </cell>
        </row>
        <row r="603">
          <cell r="G603">
            <v>5436.3750145060276</v>
          </cell>
          <cell r="H603">
            <v>0</v>
          </cell>
          <cell r="I603">
            <v>288606.27677009598</v>
          </cell>
          <cell r="J603">
            <v>0</v>
          </cell>
          <cell r="K603">
            <v>0</v>
          </cell>
        </row>
        <row r="604">
          <cell r="G604">
            <v>12399.178604269535</v>
          </cell>
          <cell r="H604">
            <v>0</v>
          </cell>
          <cell r="I604">
            <v>630820.61067081685</v>
          </cell>
          <cell r="J604">
            <v>0</v>
          </cell>
          <cell r="K604">
            <v>0</v>
          </cell>
        </row>
        <row r="605">
          <cell r="G605">
            <v>3826.3250674004562</v>
          </cell>
          <cell r="H605">
            <v>0</v>
          </cell>
          <cell r="I605">
            <v>204830.83350808121</v>
          </cell>
          <cell r="J605">
            <v>0</v>
          </cell>
          <cell r="K605">
            <v>0</v>
          </cell>
          <cell r="M605">
            <v>1124257.7209489942</v>
          </cell>
        </row>
        <row r="636">
          <cell r="G636">
            <v>2083.2359028444216</v>
          </cell>
          <cell r="H636">
            <v>3.2189691333373278</v>
          </cell>
          <cell r="I636">
            <v>110594.82761020465</v>
          </cell>
          <cell r="J636">
            <v>17635.637432049884</v>
          </cell>
          <cell r="K636">
            <v>0</v>
          </cell>
        </row>
        <row r="637">
          <cell r="G637">
            <v>4895.4510070754141</v>
          </cell>
          <cell r="H637">
            <v>7.5643404878078</v>
          </cell>
          <cell r="I637">
            <v>249060.96543596874</v>
          </cell>
          <cell r="J637">
            <v>39959.763277917875</v>
          </cell>
          <cell r="K637">
            <v>0</v>
          </cell>
        </row>
        <row r="638">
          <cell r="G638">
            <v>1655.9971592314241</v>
          </cell>
          <cell r="H638">
            <v>2.5588094623282567</v>
          </cell>
          <cell r="I638">
            <v>88648.839927976587</v>
          </cell>
          <cell r="J638">
            <v>14282.583540161499</v>
          </cell>
          <cell r="K638">
            <v>0</v>
          </cell>
          <cell r="M638">
            <v>520182.61722427921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
      <sheetName val="ICNE"/>
      <sheetName val="POT"/>
      <sheetName val="Fp"/>
      <sheetName val="B2017"/>
      <sheetName val="CNE147"/>
      <sheetName val="CDECContratos"/>
      <sheetName val="Contactos"/>
    </sheetNames>
    <sheetDataSet>
      <sheetData sheetId="0">
        <row r="209">
          <cell r="O209">
            <v>-18894.79343402572</v>
          </cell>
        </row>
        <row r="211">
          <cell r="O211">
            <v>-26642.002016829327</v>
          </cell>
        </row>
        <row r="215">
          <cell r="O215">
            <v>-12142.740584276617</v>
          </cell>
        </row>
        <row r="265">
          <cell r="O265">
            <v>-2167.6539252470247</v>
          </cell>
        </row>
        <row r="267">
          <cell r="O267">
            <v>-3563.4796180049889</v>
          </cell>
        </row>
        <row r="271">
          <cell r="O271">
            <v>-1427.4874943329487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Estimacion"/>
      <sheetName val="Proyeccion Energia"/>
      <sheetName val="PCompra"/>
      <sheetName val="Pnudo Abril16"/>
      <sheetName val="CPI"/>
      <sheetName val="Estimación Dda y precios Jul17_"/>
    </sheetNames>
    <sheetDataSet>
      <sheetData sheetId="0">
        <row r="9">
          <cell r="B9">
            <v>0</v>
          </cell>
          <cell r="C9">
            <v>0</v>
          </cell>
          <cell r="D9">
            <v>0</v>
          </cell>
        </row>
        <row r="11">
          <cell r="B11" t="str">
            <v>Punto Compra</v>
          </cell>
          <cell r="C11" t="str">
            <v>Fmodulacion E</v>
          </cell>
          <cell r="D11" t="str">
            <v>Fmodulacion P</v>
          </cell>
          <cell r="E11" t="str">
            <v>Energia [US$/MWh]</v>
          </cell>
          <cell r="F11" t="str">
            <v>Potencia [US$/MWh]</v>
          </cell>
          <cell r="G11" t="str">
            <v>Energia [$/kWh]</v>
          </cell>
          <cell r="H11" t="str">
            <v>Potencia [$/kWh]</v>
          </cell>
        </row>
        <row r="12">
          <cell r="B12" t="str">
            <v>Diego de Almagro 220</v>
          </cell>
          <cell r="C12">
            <v>0.78149999999999997</v>
          </cell>
          <cell r="D12">
            <v>1.1802999999999999</v>
          </cell>
          <cell r="E12">
            <v>63.006999999999998</v>
          </cell>
          <cell r="F12">
            <v>10.0284</v>
          </cell>
          <cell r="G12">
            <v>41.832000000000001</v>
          </cell>
          <cell r="H12">
            <v>6658.0553</v>
          </cell>
        </row>
        <row r="13">
          <cell r="B13" t="str">
            <v>Cardones 220</v>
          </cell>
          <cell r="C13">
            <v>0.85170000000000001</v>
          </cell>
          <cell r="D13">
            <v>1.2681</v>
          </cell>
          <cell r="E13">
            <v>68.667000000000002</v>
          </cell>
          <cell r="F13">
            <v>10.7744</v>
          </cell>
          <cell r="G13">
            <v>45.588999999999999</v>
          </cell>
          <cell r="H13">
            <v>7153.3396000000002</v>
          </cell>
        </row>
        <row r="14">
          <cell r="B14" t="str">
            <v>Maitencillo 220</v>
          </cell>
          <cell r="C14">
            <v>0.84379999999999999</v>
          </cell>
          <cell r="D14">
            <v>1.2791999999999999</v>
          </cell>
          <cell r="E14">
            <v>68.03</v>
          </cell>
          <cell r="F14">
            <v>10.8687</v>
          </cell>
          <cell r="G14">
            <v>45.165999999999997</v>
          </cell>
          <cell r="H14">
            <v>7215.9472999999998</v>
          </cell>
        </row>
        <row r="15">
          <cell r="B15" t="str">
            <v>Pan de Azucar 220</v>
          </cell>
          <cell r="C15">
            <v>0.95099999999999996</v>
          </cell>
          <cell r="D15">
            <v>0.91669999999999996</v>
          </cell>
          <cell r="E15">
            <v>76.673000000000002</v>
          </cell>
          <cell r="F15">
            <v>7.7887000000000004</v>
          </cell>
          <cell r="G15">
            <v>50.905000000000001</v>
          </cell>
          <cell r="H15">
            <v>5171.0736999999999</v>
          </cell>
        </row>
        <row r="16">
          <cell r="B16" t="str">
            <v>Nogales 220</v>
          </cell>
          <cell r="C16">
            <v>0.99980000000000002</v>
          </cell>
          <cell r="D16">
            <v>0.99439999999999995</v>
          </cell>
          <cell r="E16">
            <v>80.606999999999999</v>
          </cell>
          <cell r="F16">
            <v>8.4489000000000001</v>
          </cell>
          <cell r="G16">
            <v>53.517000000000003</v>
          </cell>
          <cell r="H16">
            <v>5609.3936999999996</v>
          </cell>
        </row>
        <row r="17">
          <cell r="B17" t="str">
            <v>Quillota 220</v>
          </cell>
          <cell r="C17">
            <v>1.0096000000000001</v>
          </cell>
          <cell r="D17">
            <v>1.0032000000000001</v>
          </cell>
          <cell r="E17">
            <v>81.397000000000006</v>
          </cell>
          <cell r="F17">
            <v>8.5236000000000001</v>
          </cell>
          <cell r="G17">
            <v>54.040999999999997</v>
          </cell>
          <cell r="H17">
            <v>5658.9885000000004</v>
          </cell>
        </row>
        <row r="18">
          <cell r="B18" t="str">
            <v>Los Vilos 220</v>
          </cell>
          <cell r="C18">
            <v>0.98729999999999996</v>
          </cell>
          <cell r="D18">
            <v>0.97430000000000005</v>
          </cell>
          <cell r="E18">
            <v>79.599999999999994</v>
          </cell>
          <cell r="F18">
            <v>8.2781000000000002</v>
          </cell>
          <cell r="G18">
            <v>52.847999999999999</v>
          </cell>
          <cell r="H18">
            <v>5495.9961999999996</v>
          </cell>
        </row>
        <row r="19">
          <cell r="B19" t="str">
            <v>Charrua 220</v>
          </cell>
          <cell r="C19">
            <v>0.92979999999999996</v>
          </cell>
          <cell r="D19">
            <v>0.89980000000000004</v>
          </cell>
          <cell r="E19">
            <v>74.963999999999999</v>
          </cell>
          <cell r="F19">
            <v>7.6451000000000002</v>
          </cell>
          <cell r="G19">
            <v>49.77</v>
          </cell>
          <cell r="H19">
            <v>5075.7348000000002</v>
          </cell>
        </row>
        <row r="20">
          <cell r="B20" t="str">
            <v>Temuco 220</v>
          </cell>
          <cell r="C20">
            <v>0.95620000000000005</v>
          </cell>
          <cell r="D20">
            <v>0.91920000000000002</v>
          </cell>
          <cell r="E20">
            <v>77.091999999999999</v>
          </cell>
          <cell r="F20">
            <v>7.8098999999999998</v>
          </cell>
          <cell r="G20">
            <v>51.183</v>
          </cell>
          <cell r="H20">
            <v>5185.1487999999999</v>
          </cell>
        </row>
        <row r="21">
          <cell r="B21" t="str">
            <v>Hualpen 220</v>
          </cell>
          <cell r="C21">
            <v>0.9234</v>
          </cell>
          <cell r="D21">
            <v>0.89259999999999995</v>
          </cell>
          <cell r="E21">
            <v>74.447999999999993</v>
          </cell>
          <cell r="F21">
            <v>7.5838999999999999</v>
          </cell>
          <cell r="G21">
            <v>49.427999999999997</v>
          </cell>
          <cell r="H21">
            <v>5035.1028999999999</v>
          </cell>
        </row>
        <row r="22">
          <cell r="B22" t="str">
            <v>Lagunillas 220</v>
          </cell>
          <cell r="C22">
            <v>0.9194</v>
          </cell>
          <cell r="D22">
            <v>0.8952</v>
          </cell>
          <cell r="E22">
            <v>74.125</v>
          </cell>
          <cell r="F22">
            <v>7.6059999999999999</v>
          </cell>
          <cell r="G22">
            <v>49.213000000000001</v>
          </cell>
          <cell r="H22">
            <v>5049.7754999999997</v>
          </cell>
        </row>
        <row r="23">
          <cell r="B23" t="str">
            <v>Puerto Montt 220</v>
          </cell>
          <cell r="C23">
            <v>1.1113999999999999</v>
          </cell>
          <cell r="D23">
            <v>0.96389999999999998</v>
          </cell>
          <cell r="E23">
            <v>89.605000000000004</v>
          </cell>
          <cell r="F23">
            <v>8.1897000000000002</v>
          </cell>
          <cell r="G23">
            <v>59.491</v>
          </cell>
          <cell r="H23">
            <v>5437.3055999999997</v>
          </cell>
        </row>
        <row r="24">
          <cell r="B24" t="str">
            <v>Valdivia 220</v>
          </cell>
          <cell r="C24">
            <v>1.0840000000000001</v>
          </cell>
          <cell r="D24">
            <v>0.94750000000000001</v>
          </cell>
          <cell r="E24">
            <v>87.396000000000001</v>
          </cell>
          <cell r="F24">
            <v>8.0503999999999998</v>
          </cell>
          <cell r="G24">
            <v>58.024000000000001</v>
          </cell>
          <cell r="H24">
            <v>5344.8216000000002</v>
          </cell>
        </row>
        <row r="25">
          <cell r="B25" t="str">
            <v>Los Ciruelos 220</v>
          </cell>
          <cell r="C25">
            <v>1.0794999999999999</v>
          </cell>
          <cell r="D25">
            <v>0.95240000000000002</v>
          </cell>
          <cell r="E25">
            <v>87.033000000000001</v>
          </cell>
          <cell r="F25">
            <v>8.0920000000000005</v>
          </cell>
          <cell r="G25">
            <v>57.783000000000001</v>
          </cell>
          <cell r="H25">
            <v>5372.4405999999999</v>
          </cell>
        </row>
        <row r="26">
          <cell r="B26" t="str">
            <v>Barro Blanco 220</v>
          </cell>
          <cell r="C26">
            <v>1.0948</v>
          </cell>
          <cell r="D26">
            <v>0.94950000000000001</v>
          </cell>
          <cell r="E26">
            <v>88.266999999999996</v>
          </cell>
          <cell r="F26">
            <v>8.0673999999999992</v>
          </cell>
          <cell r="G26">
            <v>58.601999999999997</v>
          </cell>
          <cell r="H26">
            <v>5356.1081999999997</v>
          </cell>
        </row>
        <row r="27">
          <cell r="B27" t="str">
            <v>Ancoa 220</v>
          </cell>
          <cell r="C27">
            <v>0.9859</v>
          </cell>
          <cell r="D27">
            <v>0.97619999999999996</v>
          </cell>
          <cell r="E27">
            <v>79.486999999999995</v>
          </cell>
          <cell r="F27">
            <v>8.2942</v>
          </cell>
          <cell r="G27">
            <v>52.773000000000003</v>
          </cell>
          <cell r="H27">
            <v>5506.6853000000001</v>
          </cell>
        </row>
        <row r="28">
          <cell r="B28" t="str">
            <v>Itahue 220</v>
          </cell>
          <cell r="C28">
            <v>0.99739999999999995</v>
          </cell>
          <cell r="D28">
            <v>0.98580000000000001</v>
          </cell>
          <cell r="E28">
            <v>80.414000000000001</v>
          </cell>
          <cell r="F28">
            <v>8.3757999999999999</v>
          </cell>
          <cell r="G28">
            <v>53.387999999999998</v>
          </cell>
          <cell r="H28">
            <v>5560.8611000000001</v>
          </cell>
        </row>
      </sheetData>
      <sheetData sheetId="1"/>
      <sheetData sheetId="2"/>
      <sheetData sheetId="3"/>
      <sheetData sheetId="4"/>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CTIVOS"/>
      <sheetName val="RESULTADOS"/>
      <sheetName val="FACTORES"/>
      <sheetName val="ENERGIA15min"/>
      <sheetName val="POTHP"/>
      <sheetName val="CONTRATOS"/>
      <sheetName val="SALDO"/>
      <sheetName val="DISTCONT"/>
      <sheetName val="DISTPTOSUM"/>
      <sheetName val="PRORRATA"/>
    </sheetNames>
    <sheetDataSet>
      <sheetData sheetId="0">
        <row r="28">
          <cell r="C28">
            <v>10567.192305219976</v>
          </cell>
        </row>
        <row r="32">
          <cell r="C32">
            <v>14407.665873795218</v>
          </cell>
        </row>
        <row r="34">
          <cell r="C34">
            <v>7591.3254195214322</v>
          </cell>
        </row>
      </sheetData>
      <sheetData sheetId="1">
        <row r="26">
          <cell r="C26">
            <v>30699.15336</v>
          </cell>
          <cell r="F26">
            <v>551690.42753999995</v>
          </cell>
        </row>
        <row r="30">
          <cell r="D30">
            <v>41516.13637</v>
          </cell>
          <cell r="G30">
            <v>752558.14835000003</v>
          </cell>
        </row>
        <row r="32">
          <cell r="E32">
            <v>25456.880860000001</v>
          </cell>
          <cell r="H32">
            <v>392676.40018</v>
          </cell>
          <cell r="L32">
            <v>210</v>
          </cell>
          <cell r="M32">
            <v>3243</v>
          </cell>
        </row>
      </sheetData>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 UNION 52C5_SEPTIEMBRE"/>
      <sheetName val="DATA PILMAIQUEN 52C2_SEPTIEMBRE"/>
      <sheetName val="BALANCE ENERGIA 52C5 SEPTIEMBRE"/>
      <sheetName val="BALANCE ENERGIA 52C2_SEPTIEMBRE"/>
      <sheetName val="ENERGIAS PUNTO SUMINISTRO SEPT"/>
      <sheetName val="REACTIVOS"/>
      <sheetName val="FACTORES"/>
      <sheetName val="POTPTA"/>
      <sheetName val="RESULTADOS FACTURACION"/>
      <sheetName val="LIC2015_AELA GEN SEPTIEMBRE"/>
    </sheetNames>
    <sheetDataSet>
      <sheetData sheetId="0"/>
      <sheetData sheetId="1"/>
      <sheetData sheetId="2"/>
      <sheetData sheetId="3"/>
      <sheetData sheetId="4"/>
      <sheetData sheetId="5"/>
      <sheetData sheetId="6"/>
      <sheetData sheetId="7"/>
      <sheetData sheetId="8">
        <row r="26">
          <cell r="C26">
            <v>8832.6290000000008</v>
          </cell>
          <cell r="F26">
            <v>11671.501</v>
          </cell>
        </row>
        <row r="30">
          <cell r="D30">
            <v>11390.677</v>
          </cell>
          <cell r="G30">
            <v>15176.194</v>
          </cell>
        </row>
        <row r="32">
          <cell r="E32">
            <v>5686.3810000000003</v>
          </cell>
          <cell r="H32">
            <v>7706.0469999999996</v>
          </cell>
          <cell r="L32">
            <v>45</v>
          </cell>
          <cell r="M32">
            <v>61</v>
          </cell>
        </row>
        <row r="61">
          <cell r="E61">
            <v>58.023000000000003</v>
          </cell>
          <cell r="F61">
            <v>58.601999999999997</v>
          </cell>
          <cell r="I61">
            <v>5344.8216000000002</v>
          </cell>
          <cell r="J61">
            <v>5356.1081999999997</v>
          </cell>
        </row>
      </sheetData>
      <sheetData sheetId="9">
        <row r="67">
          <cell r="E67">
            <v>7.4033775624452645</v>
          </cell>
          <cell r="M67">
            <v>9.6264477159292916</v>
          </cell>
          <cell r="S67">
            <v>4.8880410030336829</v>
          </cell>
        </row>
        <row r="99">
          <cell r="E99">
            <v>5.6026459112673992</v>
          </cell>
          <cell r="M99">
            <v>7.2252474230059471</v>
          </cell>
          <cell r="S99">
            <v>3.6069418583706638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12">
          <cell r="L12">
            <v>34224156.046892278</v>
          </cell>
        </row>
        <row r="19">
          <cell r="C19">
            <v>21808</v>
          </cell>
          <cell r="E19">
            <v>1265383.8622447418</v>
          </cell>
          <cell r="F19">
            <v>0</v>
          </cell>
          <cell r="H19">
            <v>0</v>
          </cell>
          <cell r="K19">
            <v>2</v>
          </cell>
        </row>
        <row r="20">
          <cell r="C20">
            <v>136241</v>
          </cell>
          <cell r="E20">
            <v>7983986.2841583416</v>
          </cell>
          <cell r="F20">
            <v>0</v>
          </cell>
          <cell r="H20">
            <v>0</v>
          </cell>
          <cell r="K20">
            <v>463</v>
          </cell>
        </row>
        <row r="21">
          <cell r="C21">
            <v>19246</v>
          </cell>
          <cell r="E21">
            <v>1144954.0158721681</v>
          </cell>
          <cell r="F21">
            <v>0</v>
          </cell>
          <cell r="H21">
            <v>0</v>
          </cell>
          <cell r="K21">
            <v>156096</v>
          </cell>
        </row>
        <row r="27">
          <cell r="C27">
            <v>30591</v>
          </cell>
          <cell r="E27">
            <v>1775007.2326636508</v>
          </cell>
          <cell r="F27">
            <v>0</v>
          </cell>
          <cell r="H27">
            <v>0</v>
          </cell>
          <cell r="K27">
            <v>3</v>
          </cell>
        </row>
        <row r="28">
          <cell r="C28">
            <v>177418</v>
          </cell>
          <cell r="E28">
            <v>10397038.179129664</v>
          </cell>
          <cell r="F28">
            <v>0</v>
          </cell>
          <cell r="H28">
            <v>0</v>
          </cell>
          <cell r="K28">
            <v>615</v>
          </cell>
        </row>
        <row r="29">
          <cell r="C29">
            <v>25577</v>
          </cell>
          <cell r="E29">
            <v>1521588.3229742514</v>
          </cell>
          <cell r="F29">
            <v>0</v>
          </cell>
          <cell r="H29">
            <v>0</v>
          </cell>
          <cell r="K29">
            <v>203274</v>
          </cell>
        </row>
        <row r="35">
          <cell r="C35">
            <v>13222</v>
          </cell>
          <cell r="E35">
            <v>767191.18794020428</v>
          </cell>
          <cell r="F35">
            <v>110</v>
          </cell>
          <cell r="H35">
            <v>587929.60610212595</v>
          </cell>
          <cell r="K35">
            <v>2</v>
          </cell>
        </row>
        <row r="36">
          <cell r="C36">
            <v>72060</v>
          </cell>
          <cell r="E36">
            <v>4222855.4666836709</v>
          </cell>
          <cell r="F36">
            <v>575</v>
          </cell>
          <cell r="H36">
            <v>3079755.5056035682</v>
          </cell>
          <cell r="K36">
            <v>240</v>
          </cell>
        </row>
        <row r="37">
          <cell r="C37">
            <v>9998</v>
          </cell>
          <cell r="E37">
            <v>594785.94256936177</v>
          </cell>
          <cell r="F37">
            <v>81</v>
          </cell>
          <cell r="H37">
            <v>440423.44095052982</v>
          </cell>
          <cell r="K37">
            <v>82562</v>
          </cell>
        </row>
      </sheetData>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1"/>
      <sheetName val="PRECIOS"/>
      <sheetName val="RESULTADOS"/>
      <sheetName val="FACTORES"/>
      <sheetName val="ENERGIA15min"/>
      <sheetName val="POTHP"/>
      <sheetName val="CONTRATOS"/>
      <sheetName val="SALDO"/>
      <sheetName val="DISTCONT"/>
      <sheetName val="DISTPTOSUM"/>
      <sheetName val="PRORRATA"/>
      <sheetName val="CDEC-A"/>
      <sheetName val="CDEC-B"/>
      <sheetName val="Cdec-C"/>
      <sheetName val="CDEC-D"/>
      <sheetName val="CDECE"/>
      <sheetName val="Hoja2"/>
    </sheetNames>
    <sheetDataSet>
      <sheetData sheetId="0"/>
      <sheetData sheetId="1"/>
      <sheetData sheetId="2">
        <row r="61">
          <cell r="C61">
            <v>407.16899999999998</v>
          </cell>
          <cell r="D61">
            <v>3374.9189999999999</v>
          </cell>
          <cell r="E61">
            <v>58.601999999999997</v>
          </cell>
          <cell r="F61">
            <v>59.49</v>
          </cell>
        </row>
        <row r="65">
          <cell r="C65">
            <v>507.30874905737869</v>
          </cell>
          <cell r="D65">
            <v>4102.848</v>
          </cell>
        </row>
        <row r="67">
          <cell r="C67">
            <v>300.83600000000001</v>
          </cell>
          <cell r="D67">
            <v>2655.723</v>
          </cell>
          <cell r="G67">
            <v>2.36</v>
          </cell>
          <cell r="H67">
            <v>20.8</v>
          </cell>
          <cell r="I67">
            <v>5356.1081999999997</v>
          </cell>
          <cell r="J67">
            <v>5437.3720000000003</v>
          </cell>
        </row>
        <row r="97">
          <cell r="E97">
            <v>224635</v>
          </cell>
        </row>
        <row r="101">
          <cell r="E101">
            <v>273808</v>
          </cell>
        </row>
        <row r="103">
          <cell r="E103">
            <v>301357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Estimacion"/>
      <sheetName val="Proyeccion Energia"/>
      <sheetName val="PCompra"/>
      <sheetName val="Pnudo Abril17"/>
      <sheetName val="CPI"/>
    </sheetNames>
    <sheetDataSet>
      <sheetData sheetId="0">
        <row r="9">
          <cell r="B9">
            <v>0</v>
          </cell>
          <cell r="C9">
            <v>0</v>
          </cell>
          <cell r="D9">
            <v>0</v>
          </cell>
          <cell r="E9">
            <v>0</v>
          </cell>
          <cell r="F9">
            <v>0</v>
          </cell>
          <cell r="G9">
            <v>0</v>
          </cell>
        </row>
        <row r="11">
          <cell r="B11" t="str">
            <v>Punto Compra</v>
          </cell>
          <cell r="C11" t="str">
            <v>Fmodulacion E</v>
          </cell>
          <cell r="D11" t="str">
            <v>Fmodulacion P</v>
          </cell>
          <cell r="E11" t="str">
            <v>Energia [US$/MWh]</v>
          </cell>
          <cell r="F11" t="str">
            <v>Potencia [US$/MWh]</v>
          </cell>
          <cell r="G11" t="str">
            <v>Energia [$/kWh]</v>
          </cell>
          <cell r="H11" t="str">
            <v>Potencia [$/kWh]</v>
          </cell>
        </row>
        <row r="12">
          <cell r="B12" t="str">
            <v>Diego de Almagro 220</v>
          </cell>
          <cell r="C12">
            <v>0.88490000000000002</v>
          </cell>
          <cell r="D12">
            <v>1.0059</v>
          </cell>
          <cell r="E12">
            <v>71.528999999999996</v>
          </cell>
          <cell r="F12">
            <v>8.5686999999999998</v>
          </cell>
          <cell r="G12">
            <v>47.295000000000002</v>
          </cell>
          <cell r="H12">
            <v>5665.6243999999997</v>
          </cell>
        </row>
        <row r="13">
          <cell r="B13" t="str">
            <v>Cardones 220</v>
          </cell>
          <cell r="C13">
            <v>0.89119999999999999</v>
          </cell>
          <cell r="D13">
            <v>1.0482</v>
          </cell>
          <cell r="E13">
            <v>72.037999999999997</v>
          </cell>
          <cell r="F13">
            <v>8.9291</v>
          </cell>
          <cell r="G13">
            <v>47.631999999999998</v>
          </cell>
          <cell r="H13">
            <v>5903.9209000000001</v>
          </cell>
        </row>
        <row r="14">
          <cell r="B14" t="str">
            <v>Maitencillo 220</v>
          </cell>
          <cell r="C14">
            <v>0.86799999999999999</v>
          </cell>
          <cell r="D14">
            <v>0.99929999999999997</v>
          </cell>
          <cell r="E14">
            <v>70.162999999999997</v>
          </cell>
          <cell r="F14">
            <v>8.5124999999999993</v>
          </cell>
          <cell r="G14">
            <v>46.392000000000003</v>
          </cell>
          <cell r="H14">
            <v>5628.4650000000001</v>
          </cell>
        </row>
        <row r="15">
          <cell r="B15" t="str">
            <v>Pan de Azucar 220</v>
          </cell>
          <cell r="C15">
            <v>0.99719999999999998</v>
          </cell>
          <cell r="D15">
            <v>0.98319999999999996</v>
          </cell>
          <cell r="E15">
            <v>80.605999999999995</v>
          </cell>
          <cell r="F15">
            <v>8.3754000000000008</v>
          </cell>
          <cell r="G15">
            <v>53.296999999999997</v>
          </cell>
          <cell r="H15">
            <v>5537.8145000000004</v>
          </cell>
        </row>
        <row r="16">
          <cell r="B16" t="str">
            <v>Nogales 220</v>
          </cell>
          <cell r="C16">
            <v>1.0065</v>
          </cell>
          <cell r="D16">
            <v>1.0007999999999999</v>
          </cell>
          <cell r="E16">
            <v>81.358000000000004</v>
          </cell>
          <cell r="F16">
            <v>8.5252999999999997</v>
          </cell>
          <cell r="G16">
            <v>53.793999999999997</v>
          </cell>
          <cell r="H16">
            <v>5636.9283999999998</v>
          </cell>
        </row>
        <row r="17">
          <cell r="B17" t="str">
            <v>Quillota 220</v>
          </cell>
          <cell r="C17">
            <v>1.0222</v>
          </cell>
          <cell r="D17">
            <v>0.99850000000000005</v>
          </cell>
          <cell r="E17">
            <v>82.626999999999995</v>
          </cell>
          <cell r="F17">
            <v>8.5056999999999992</v>
          </cell>
          <cell r="G17">
            <v>54.633000000000003</v>
          </cell>
          <cell r="H17">
            <v>5623.9687999999996</v>
          </cell>
        </row>
        <row r="18">
          <cell r="B18" t="str">
            <v>Los Vilos 220</v>
          </cell>
          <cell r="C18">
            <v>1.0297000000000001</v>
          </cell>
          <cell r="D18">
            <v>1.0121</v>
          </cell>
          <cell r="E18">
            <v>83.233000000000004</v>
          </cell>
          <cell r="F18">
            <v>8.6216000000000008</v>
          </cell>
          <cell r="G18">
            <v>55.033999999999999</v>
          </cell>
          <cell r="H18">
            <v>5700.6018999999997</v>
          </cell>
        </row>
        <row r="19">
          <cell r="B19" t="str">
            <v>Charrua 220</v>
          </cell>
          <cell r="C19">
            <v>0.95189999999999997</v>
          </cell>
          <cell r="D19">
            <v>0.93789999999999996</v>
          </cell>
          <cell r="E19">
            <v>76.944999999999993</v>
          </cell>
          <cell r="F19">
            <v>7.9894999999999996</v>
          </cell>
          <cell r="G19">
            <v>50.875999999999998</v>
          </cell>
          <cell r="H19">
            <v>5282.6574000000001</v>
          </cell>
        </row>
        <row r="20">
          <cell r="B20" t="str">
            <v>Temuco 220</v>
          </cell>
          <cell r="C20">
            <v>0.97760000000000002</v>
          </cell>
          <cell r="D20">
            <v>0.96060000000000001</v>
          </cell>
          <cell r="E20">
            <v>79.022000000000006</v>
          </cell>
          <cell r="F20">
            <v>8.1829000000000001</v>
          </cell>
          <cell r="G20">
            <v>52.249000000000002</v>
          </cell>
          <cell r="H20">
            <v>5410.5334999999995</v>
          </cell>
        </row>
        <row r="21">
          <cell r="B21" t="str">
            <v>Hualpen 220</v>
          </cell>
          <cell r="C21">
            <v>0.9415</v>
          </cell>
          <cell r="D21">
            <v>0.94410000000000005</v>
          </cell>
          <cell r="E21">
            <v>76.103999999999999</v>
          </cell>
          <cell r="F21">
            <v>8.0422999999999991</v>
          </cell>
          <cell r="G21">
            <v>50.32</v>
          </cell>
          <cell r="H21">
            <v>5317.5688</v>
          </cell>
        </row>
        <row r="22">
          <cell r="B22" t="str">
            <v>Lagunillas 220</v>
          </cell>
          <cell r="C22">
            <v>0.93669999999999998</v>
          </cell>
          <cell r="D22">
            <v>0.94889999999999997</v>
          </cell>
          <cell r="E22">
            <v>75.715999999999994</v>
          </cell>
          <cell r="F22">
            <v>8.0831999999999997</v>
          </cell>
          <cell r="G22">
            <v>50.063000000000002</v>
          </cell>
          <cell r="H22">
            <v>5344.6117999999997</v>
          </cell>
        </row>
        <row r="23">
          <cell r="B23" t="str">
            <v>Puerto Montt 220</v>
          </cell>
          <cell r="C23">
            <v>1.1465000000000001</v>
          </cell>
          <cell r="D23">
            <v>1.0512999999999999</v>
          </cell>
          <cell r="E23">
            <v>92.674999999999997</v>
          </cell>
          <cell r="F23">
            <v>8.9555000000000007</v>
          </cell>
          <cell r="G23">
            <v>61.277000000000001</v>
          </cell>
          <cell r="H23">
            <v>5921.3765999999996</v>
          </cell>
        </row>
        <row r="24">
          <cell r="B24" t="str">
            <v>Valdivia 220</v>
          </cell>
          <cell r="C24">
            <v>1.1282000000000001</v>
          </cell>
          <cell r="D24">
            <v>1.0328999999999999</v>
          </cell>
          <cell r="E24">
            <v>91.194999999999993</v>
          </cell>
          <cell r="F24">
            <v>8.7987000000000002</v>
          </cell>
          <cell r="G24">
            <v>60.298000000000002</v>
          </cell>
          <cell r="H24">
            <v>5817.7003999999997</v>
          </cell>
        </row>
        <row r="25">
          <cell r="B25" t="str">
            <v>Los Ciruelos 220</v>
          </cell>
          <cell r="C25">
            <v>1.101</v>
          </cell>
          <cell r="D25">
            <v>1.0179</v>
          </cell>
          <cell r="E25">
            <v>88.997</v>
          </cell>
          <cell r="F25">
            <v>8.6709999999999994</v>
          </cell>
          <cell r="G25">
            <v>58.844999999999999</v>
          </cell>
          <cell r="H25">
            <v>5733.2651999999998</v>
          </cell>
        </row>
        <row r="26">
          <cell r="B26" t="str">
            <v>Barro Blanco 220</v>
          </cell>
          <cell r="C26">
            <v>1.1400999999999999</v>
          </cell>
          <cell r="D26">
            <v>1.0358000000000001</v>
          </cell>
          <cell r="E26">
            <v>92.156999999999996</v>
          </cell>
          <cell r="F26">
            <v>8.8234999999999992</v>
          </cell>
          <cell r="G26">
            <v>60.933999999999997</v>
          </cell>
          <cell r="H26">
            <v>5834.0982000000004</v>
          </cell>
        </row>
        <row r="27">
          <cell r="B27" t="str">
            <v>Ancoa 220</v>
          </cell>
          <cell r="C27">
            <v>0.99329999999999996</v>
          </cell>
          <cell r="D27">
            <v>0.97270000000000001</v>
          </cell>
          <cell r="E27">
            <v>80.290999999999997</v>
          </cell>
          <cell r="F27">
            <v>8.2858999999999998</v>
          </cell>
          <cell r="G27">
            <v>53.088000000000001</v>
          </cell>
          <cell r="H27">
            <v>5478.6370999999999</v>
          </cell>
        </row>
        <row r="28">
          <cell r="B28" t="str">
            <v>Itahue 220</v>
          </cell>
          <cell r="C28">
            <v>1.0016</v>
          </cell>
          <cell r="D28">
            <v>0.99099999999999999</v>
          </cell>
          <cell r="E28">
            <v>80.962000000000003</v>
          </cell>
          <cell r="F28">
            <v>8.4418000000000006</v>
          </cell>
          <cell r="G28">
            <v>53.531999999999996</v>
          </cell>
          <cell r="H28">
            <v>5581.7182000000003</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9">
          <cell r="H9">
            <v>21376</v>
          </cell>
        </row>
        <row r="35">
          <cell r="H35">
            <v>82877</v>
          </cell>
          <cell r="I35">
            <v>-7153</v>
          </cell>
          <cell r="J35">
            <v>27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SEP17"/>
      <sheetName val="MONTOS A FACTURAR"/>
      <sheetName val="MONTOS PENDIENTES"/>
    </sheetNames>
    <sheetDataSet>
      <sheetData sheetId="0">
        <row r="20">
          <cell r="K20">
            <v>2948328</v>
          </cell>
          <cell r="L20">
            <v>0</v>
          </cell>
          <cell r="O20">
            <v>162258283</v>
          </cell>
          <cell r="P20">
            <v>0</v>
          </cell>
          <cell r="Q20">
            <v>0</v>
          </cell>
          <cell r="R20">
            <v>162258283</v>
          </cell>
        </row>
        <row r="21">
          <cell r="K21">
            <v>318442</v>
          </cell>
          <cell r="L21">
            <v>0</v>
          </cell>
          <cell r="O21">
            <v>14773161</v>
          </cell>
          <cell r="P21">
            <v>0</v>
          </cell>
          <cell r="Q21">
            <v>0</v>
          </cell>
          <cell r="R21">
            <v>14773161</v>
          </cell>
        </row>
        <row r="22">
          <cell r="K22">
            <v>87154</v>
          </cell>
          <cell r="L22">
            <v>0</v>
          </cell>
          <cell r="O22">
            <v>4688362</v>
          </cell>
          <cell r="P22">
            <v>0</v>
          </cell>
          <cell r="Q22">
            <v>0</v>
          </cell>
          <cell r="R22">
            <v>4688362</v>
          </cell>
        </row>
        <row r="23">
          <cell r="K23">
            <v>7199445</v>
          </cell>
          <cell r="L23">
            <v>0</v>
          </cell>
          <cell r="O23">
            <v>383708820</v>
          </cell>
          <cell r="P23">
            <v>0</v>
          </cell>
          <cell r="Q23">
            <v>0</v>
          </cell>
          <cell r="R23">
            <v>383708820</v>
          </cell>
        </row>
        <row r="24">
          <cell r="K24">
            <v>2930213</v>
          </cell>
          <cell r="L24">
            <v>0</v>
          </cell>
          <cell r="O24">
            <v>160086327</v>
          </cell>
          <cell r="P24">
            <v>0</v>
          </cell>
          <cell r="Q24">
            <v>0</v>
          </cell>
          <cell r="R24">
            <v>160086327</v>
          </cell>
        </row>
        <row r="40">
          <cell r="K40">
            <v>3966811</v>
          </cell>
          <cell r="L40">
            <v>0</v>
          </cell>
          <cell r="O40">
            <v>218309477</v>
          </cell>
          <cell r="P40">
            <v>0</v>
          </cell>
          <cell r="Q40">
            <v>0</v>
          </cell>
          <cell r="R40">
            <v>218309477</v>
          </cell>
        </row>
        <row r="41">
          <cell r="K41">
            <v>363024</v>
          </cell>
          <cell r="L41">
            <v>0</v>
          </cell>
          <cell r="O41">
            <v>16841409</v>
          </cell>
          <cell r="P41">
            <v>0</v>
          </cell>
          <cell r="Q41">
            <v>29344</v>
          </cell>
          <cell r="R41">
            <v>16870753</v>
          </cell>
        </row>
        <row r="42">
          <cell r="K42">
            <v>122971</v>
          </cell>
          <cell r="L42">
            <v>0</v>
          </cell>
          <cell r="O42">
            <v>6615102</v>
          </cell>
          <cell r="P42">
            <v>0</v>
          </cell>
          <cell r="Q42">
            <v>0</v>
          </cell>
          <cell r="R42">
            <v>6615102</v>
          </cell>
        </row>
        <row r="43">
          <cell r="K43">
            <v>9244087</v>
          </cell>
          <cell r="L43">
            <v>0</v>
          </cell>
          <cell r="O43">
            <v>492682105</v>
          </cell>
          <cell r="P43">
            <v>0</v>
          </cell>
          <cell r="Q43">
            <v>7582</v>
          </cell>
          <cell r="R43">
            <v>492689687</v>
          </cell>
        </row>
        <row r="44">
          <cell r="K44">
            <v>4032008</v>
          </cell>
          <cell r="L44">
            <v>0</v>
          </cell>
          <cell r="O44">
            <v>220280693</v>
          </cell>
          <cell r="P44">
            <v>0</v>
          </cell>
          <cell r="Q44">
            <v>0</v>
          </cell>
          <cell r="R44">
            <v>220280693</v>
          </cell>
        </row>
        <row r="60">
          <cell r="K60">
            <v>2009733</v>
          </cell>
          <cell r="L60">
            <v>16232</v>
          </cell>
          <cell r="O60">
            <v>110603646</v>
          </cell>
          <cell r="P60">
            <v>92532170</v>
          </cell>
          <cell r="Q60">
            <v>0</v>
          </cell>
          <cell r="R60">
            <v>203135816</v>
          </cell>
        </row>
        <row r="61">
          <cell r="K61">
            <v>266497</v>
          </cell>
          <cell r="L61">
            <v>2304</v>
          </cell>
          <cell r="O61">
            <v>12363329</v>
          </cell>
          <cell r="P61">
            <v>12967983</v>
          </cell>
          <cell r="Q61">
            <v>0</v>
          </cell>
          <cell r="R61">
            <v>25331312</v>
          </cell>
        </row>
        <row r="62">
          <cell r="K62">
            <v>74605</v>
          </cell>
          <cell r="L62">
            <v>682</v>
          </cell>
          <cell r="O62">
            <v>4013301</v>
          </cell>
          <cell r="P62">
            <v>3844385</v>
          </cell>
          <cell r="Q62">
            <v>0</v>
          </cell>
          <cell r="R62">
            <v>7857686</v>
          </cell>
        </row>
        <row r="63">
          <cell r="K63">
            <v>5425581</v>
          </cell>
          <cell r="L63">
            <v>44311</v>
          </cell>
          <cell r="O63">
            <v>289167191</v>
          </cell>
          <cell r="P63">
            <v>245386098</v>
          </cell>
          <cell r="Q63">
            <v>0</v>
          </cell>
          <cell r="R63">
            <v>534553289</v>
          </cell>
        </row>
        <row r="64">
          <cell r="K64">
            <v>2459624</v>
          </cell>
          <cell r="L64">
            <v>21434</v>
          </cell>
          <cell r="O64">
            <v>134376638</v>
          </cell>
          <cell r="P64">
            <v>120544147</v>
          </cell>
          <cell r="Q64">
            <v>0</v>
          </cell>
          <cell r="R64">
            <v>254920785</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ESUMEN"/>
    </sheetNames>
    <sheetDataSet>
      <sheetData sheetId="0"/>
      <sheetData sheetId="1">
        <row r="8">
          <cell r="H8">
            <v>6312521</v>
          </cell>
          <cell r="I8">
            <v>112750</v>
          </cell>
          <cell r="J8">
            <v>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Horario"/>
      <sheetName val="TOTAL ACTIVOS 220"/>
      <sheetName val="TOTAL ACTIVOS 23"/>
      <sheetName val="TOTAL REACTIVOS 23"/>
    </sheetNames>
    <sheetDataSet>
      <sheetData sheetId="0">
        <row r="15">
          <cell r="L15">
            <v>126450622.42844135</v>
          </cell>
        </row>
        <row r="22">
          <cell r="C22">
            <v>143618</v>
          </cell>
          <cell r="E22">
            <v>8333267.5865675593</v>
          </cell>
          <cell r="F22">
            <v>0</v>
          </cell>
          <cell r="H22">
            <v>0</v>
          </cell>
          <cell r="K22">
            <v>1110</v>
          </cell>
        </row>
        <row r="23">
          <cell r="C23">
            <v>109858</v>
          </cell>
          <cell r="E23">
            <v>6437891.4218558809</v>
          </cell>
          <cell r="F23">
            <v>0</v>
          </cell>
          <cell r="H23">
            <v>0</v>
          </cell>
          <cell r="K23">
            <v>10521</v>
          </cell>
        </row>
        <row r="24">
          <cell r="C24">
            <v>321292</v>
          </cell>
          <cell r="E24">
            <v>19113819.269853506</v>
          </cell>
          <cell r="F24">
            <v>0</v>
          </cell>
          <cell r="H24">
            <v>0</v>
          </cell>
          <cell r="K24">
            <v>0</v>
          </cell>
        </row>
        <row r="25">
          <cell r="C25">
            <v>1206</v>
          </cell>
          <cell r="E25">
            <v>60022.491730449459</v>
          </cell>
          <cell r="F25">
            <v>0</v>
          </cell>
          <cell r="H25">
            <v>0</v>
          </cell>
          <cell r="K25">
            <v>0</v>
          </cell>
        </row>
        <row r="26">
          <cell r="C26">
            <v>11582</v>
          </cell>
          <cell r="E26">
            <v>592801.74141494022</v>
          </cell>
          <cell r="F26">
            <v>0</v>
          </cell>
          <cell r="H26">
            <v>0</v>
          </cell>
          <cell r="K26">
            <v>0</v>
          </cell>
        </row>
        <row r="27">
          <cell r="C27">
            <v>5878</v>
          </cell>
          <cell r="E27">
            <v>339648.26402128662</v>
          </cell>
          <cell r="F27">
            <v>0</v>
          </cell>
          <cell r="H27">
            <v>0</v>
          </cell>
          <cell r="K27">
            <v>0</v>
          </cell>
        </row>
        <row r="33">
          <cell r="C33">
            <v>212479</v>
          </cell>
          <cell r="E33">
            <v>12328847.105002774</v>
          </cell>
          <cell r="F33">
            <v>0</v>
          </cell>
          <cell r="H33">
            <v>0</v>
          </cell>
          <cell r="K33">
            <v>1642</v>
          </cell>
        </row>
        <row r="34">
          <cell r="C34">
            <v>157970</v>
          </cell>
          <cell r="E34">
            <v>9257347.7389955539</v>
          </cell>
          <cell r="F34">
            <v>0</v>
          </cell>
          <cell r="H34">
            <v>0</v>
          </cell>
          <cell r="K34">
            <v>15129</v>
          </cell>
        </row>
        <row r="35">
          <cell r="C35">
            <v>450072</v>
          </cell>
          <cell r="E35">
            <v>26775004.875382856</v>
          </cell>
          <cell r="F35">
            <v>0</v>
          </cell>
          <cell r="H35">
            <v>0</v>
          </cell>
          <cell r="K35">
            <v>0</v>
          </cell>
        </row>
        <row r="36">
          <cell r="C36">
            <v>1550</v>
          </cell>
          <cell r="E36">
            <v>77143.335142783311</v>
          </cell>
          <cell r="F36">
            <v>0</v>
          </cell>
          <cell r="H36">
            <v>0</v>
          </cell>
          <cell r="K36">
            <v>0</v>
          </cell>
        </row>
        <row r="37">
          <cell r="C37">
            <v>14890</v>
          </cell>
          <cell r="E37">
            <v>762115.17265312211</v>
          </cell>
          <cell r="F37">
            <v>0</v>
          </cell>
          <cell r="H37">
            <v>0</v>
          </cell>
          <cell r="K37">
            <v>0</v>
          </cell>
        </row>
        <row r="38">
          <cell r="C38">
            <v>8658</v>
          </cell>
          <cell r="E38">
            <v>500284.90471185773</v>
          </cell>
          <cell r="F38">
            <v>0</v>
          </cell>
          <cell r="H38">
            <v>0</v>
          </cell>
          <cell r="K38">
            <v>0</v>
          </cell>
        </row>
        <row r="44">
          <cell r="C44">
            <v>114241</v>
          </cell>
          <cell r="E44">
            <v>6628701.2934107454</v>
          </cell>
          <cell r="F44">
            <v>941</v>
          </cell>
          <cell r="H44">
            <v>5029470.5394736417</v>
          </cell>
          <cell r="K44">
            <v>883</v>
          </cell>
        </row>
        <row r="45">
          <cell r="C45">
            <v>76663</v>
          </cell>
          <cell r="E45">
            <v>4492600.1754422747</v>
          </cell>
          <cell r="F45">
            <v>613</v>
          </cell>
          <cell r="H45">
            <v>3283287.1737999776</v>
          </cell>
          <cell r="K45">
            <v>7342</v>
          </cell>
        </row>
        <row r="46">
          <cell r="C46">
            <v>212154</v>
          </cell>
          <cell r="E46">
            <v>12621145.915169071</v>
          </cell>
          <cell r="F46">
            <v>1534</v>
          </cell>
          <cell r="H46">
            <v>8340858.7459026268</v>
          </cell>
          <cell r="K46">
            <v>0</v>
          </cell>
        </row>
        <row r="47">
          <cell r="C47">
            <v>924</v>
          </cell>
          <cell r="E47">
            <v>45987.381723826955</v>
          </cell>
          <cell r="F47">
            <v>8</v>
          </cell>
          <cell r="H47">
            <v>40605.924457333109</v>
          </cell>
          <cell r="K47">
            <v>0</v>
          </cell>
        </row>
        <row r="48">
          <cell r="C48">
            <v>8871</v>
          </cell>
          <cell r="E48">
            <v>454044.57331133954</v>
          </cell>
          <cell r="F48">
            <v>76</v>
          </cell>
          <cell r="H48">
            <v>394073.32155058417</v>
          </cell>
          <cell r="K48">
            <v>0</v>
          </cell>
        </row>
        <row r="49">
          <cell r="C49">
            <v>5021</v>
          </cell>
          <cell r="E49">
            <v>290128.26363574009</v>
          </cell>
          <cell r="F49">
            <v>40</v>
          </cell>
          <cell r="H49">
            <v>214898.21323162952</v>
          </cell>
          <cell r="K49">
            <v>0</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Custom"/>
      <sheetName val="|PRIVATE|Template"/>
      <sheetName val="|PRIVATE|Datasheets"/>
      <sheetName val="L2006 Endesa"/>
      <sheetName val="L2006 Colbún BB"/>
      <sheetName val="L2006 Colbún BV"/>
      <sheetName val="L2013-01 Endesa"/>
      <sheetName val="L2013-01 Panguipulli"/>
      <sheetName val="L2013-03 Endesa"/>
      <sheetName val="L2013-03 2 Carén 1-A"/>
      <sheetName val="L2013-03 2 ERNC-1  1-A"/>
      <sheetName val="L2013-03 2 Chungungo 1-B"/>
      <sheetName val="L2013-03 2 Carén 1-B"/>
      <sheetName val="L2013-03 2 ERNC-1  1-B"/>
      <sheetName val="L2013-03 2 El Morado 1-B"/>
      <sheetName val="L2013-03 2 SPV P4 1-B"/>
      <sheetName val="L2013-03 2 Carén 1-C"/>
      <sheetName val="L2013-03 2 ERNC-1  1-C"/>
      <sheetName val="L2013-03 2 San Juan 2A"/>
      <sheetName val="L2013-03 2 Pelumpen 2- B"/>
      <sheetName val="L2013-03 2 Santiago Solar 2-B"/>
      <sheetName val="L2013-03 2 San Juan 2-C"/>
      <sheetName val="L2013-03 2 Acciona Energia 3"/>
      <sheetName val="L2013-03-2 E-CL S.A. 3"/>
      <sheetName val="L2013_03 2 Caren S.A. 3"/>
      <sheetName val="L2013-03 2 San Juan SpA 3"/>
      <sheetName val="L2013-03 2 El Campesino 4"/>
      <sheetName val="L2013-03 2 Norvid S.A. 4"/>
      <sheetName val="L2013-03 2 Abengoa S.A. 4"/>
      <sheetName val="L2015_02 Aela Generación 4-A"/>
      <sheetName val="L2015_02 Consorcio Abengoa 4-A"/>
      <sheetName val="L2015Ibereolica Cabo Leones 4-A"/>
      <sheetName val="L2015_02 SCB II SpA 4-B"/>
      <sheetName val="L2015-02 Aela Generación 4-B"/>
      <sheetName val="L2015_02 Amunche Solar 4-B"/>
      <sheetName val="L2015_02 Aela Generación 4-C"/>
      <sheetName val="L2015_02 Consorcio Abengoa 4-C"/>
      <sheetName val="L2015_02 Ibereolica Cabo Leones"/>
      <sheetName val="PRORRATA_Precios"/>
      <sheetName val="Distribución Reactivos"/>
      <sheetName val="Don Pablo"/>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0">
          <cell r="C30">
            <v>17901.399576185249</v>
          </cell>
          <cell r="D30">
            <v>143733.53283933681</v>
          </cell>
          <cell r="P30">
            <v>2311.2735238589908</v>
          </cell>
          <cell r="Q30">
            <v>890952.65690673993</v>
          </cell>
          <cell r="R30">
            <v>7356713.4113157764</v>
          </cell>
          <cell r="AC30">
            <v>8249977.341746375</v>
          </cell>
        </row>
        <row r="34">
          <cell r="C34">
            <v>20613.634414467</v>
          </cell>
          <cell r="D34">
            <v>167872.81904749959</v>
          </cell>
          <cell r="P34">
            <v>18582.81341287191</v>
          </cell>
          <cell r="Q34">
            <v>1025940.5848080227</v>
          </cell>
          <cell r="R34">
            <v>8592234.4973081723</v>
          </cell>
          <cell r="AC34">
            <v>9636757.8955290653</v>
          </cell>
        </row>
        <row r="36">
          <cell r="C36">
            <v>8372.653419029506</v>
          </cell>
          <cell r="D36">
            <v>67877.730420798718</v>
          </cell>
          <cell r="G36">
            <v>11.047556202151428</v>
          </cell>
          <cell r="H36">
            <v>89.573290165770132</v>
          </cell>
          <cell r="P36">
            <v>12934.109817535045</v>
          </cell>
          <cell r="Q36">
            <v>416706.96066509857</v>
          </cell>
          <cell r="R36">
            <v>3474185.8761277408</v>
          </cell>
          <cell r="S36">
            <v>56074.456632170884</v>
          </cell>
          <cell r="T36">
            <v>464450.83891082765</v>
          </cell>
          <cell r="AC36">
            <v>4424352.2421533726</v>
          </cell>
        </row>
      </sheetData>
      <sheetData sheetId="39"/>
      <sheetData sheetId="40"/>
      <sheetData sheetId="41"/>
      <sheetData sheetId="4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14">
          <cell r="L14">
            <v>161800005.83245942</v>
          </cell>
        </row>
        <row r="21">
          <cell r="C21">
            <v>377901.26945450361</v>
          </cell>
          <cell r="E21">
            <v>18808105.987362601</v>
          </cell>
          <cell r="F21">
            <v>0</v>
          </cell>
          <cell r="H21">
            <v>0</v>
          </cell>
          <cell r="K21">
            <v>6790.6186162228087</v>
          </cell>
        </row>
        <row r="22">
          <cell r="C22">
            <v>288975.63912455982</v>
          </cell>
          <cell r="E22">
            <v>14790646.011011431</v>
          </cell>
          <cell r="F22">
            <v>0</v>
          </cell>
          <cell r="H22">
            <v>0</v>
          </cell>
          <cell r="K22">
            <v>15697.082342876009</v>
          </cell>
        </row>
        <row r="23">
          <cell r="C23">
            <v>6171.7231959157079</v>
          </cell>
          <cell r="E23">
            <v>305051.72176828276</v>
          </cell>
          <cell r="F23">
            <v>0</v>
          </cell>
          <cell r="H23">
            <v>0</v>
          </cell>
          <cell r="K23">
            <v>1883.1638882755697</v>
          </cell>
        </row>
        <row r="24">
          <cell r="C24">
            <v>167623.19411255969</v>
          </cell>
          <cell r="E24">
            <v>8249275.0119651221</v>
          </cell>
          <cell r="F24">
            <v>0</v>
          </cell>
          <cell r="H24">
            <v>0</v>
          </cell>
          <cell r="K24">
            <v>59259.704783816756</v>
          </cell>
        </row>
        <row r="30">
          <cell r="C30">
            <v>530354.44076233264</v>
          </cell>
          <cell r="E30">
            <v>26395684.108510993</v>
          </cell>
          <cell r="F30">
            <v>0</v>
          </cell>
          <cell r="H30">
            <v>0</v>
          </cell>
          <cell r="K30">
            <v>9530.0943122942263</v>
          </cell>
        </row>
        <row r="31">
          <cell r="C31">
            <v>407589.57969067059</v>
          </cell>
          <cell r="E31">
            <v>20861665.741945524</v>
          </cell>
          <cell r="F31">
            <v>0</v>
          </cell>
          <cell r="H31">
            <v>0</v>
          </cell>
          <cell r="K31">
            <v>22140.161066465898</v>
          </cell>
        </row>
        <row r="32">
          <cell r="C32">
            <v>8185.9937305332214</v>
          </cell>
          <cell r="E32">
            <v>404611.71096203401</v>
          </cell>
          <cell r="F32">
            <v>0</v>
          </cell>
          <cell r="H32">
            <v>0</v>
          </cell>
          <cell r="K32">
            <v>2497.773683886538</v>
          </cell>
        </row>
        <row r="33">
          <cell r="C33">
            <v>228932.23132586692</v>
          </cell>
          <cell r="E33">
            <v>11266489.374028634</v>
          </cell>
          <cell r="F33">
            <v>0</v>
          </cell>
          <cell r="H33">
            <v>0</v>
          </cell>
          <cell r="K33">
            <v>80934.243710696668</v>
          </cell>
        </row>
        <row r="39">
          <cell r="C39">
            <v>291892.41459801415</v>
          </cell>
          <cell r="E39">
            <v>14527454.429013457</v>
          </cell>
          <cell r="F39">
            <v>2375.1845045794903</v>
          </cell>
          <cell r="H39">
            <v>12055820.320647869</v>
          </cell>
          <cell r="K39">
            <v>5245.1003071905125</v>
          </cell>
        </row>
        <row r="40">
          <cell r="C40">
            <v>210468.69545620069</v>
          </cell>
          <cell r="E40">
            <v>10772423.517507035</v>
          </cell>
          <cell r="F40">
            <v>1864.0911811074393</v>
          </cell>
          <cell r="H40">
            <v>9665639.5185810551</v>
          </cell>
          <cell r="K40">
            <v>11432.605368335677</v>
          </cell>
        </row>
        <row r="41">
          <cell r="C41">
            <v>4379.7480550376176</v>
          </cell>
          <cell r="E41">
            <v>216479.19757397368</v>
          </cell>
          <cell r="F41">
            <v>35.758302546669903</v>
          </cell>
          <cell r="H41">
            <v>180047.54482148608</v>
          </cell>
          <cell r="K41">
            <v>1336.3825815211833</v>
          </cell>
        </row>
        <row r="42">
          <cell r="C42">
            <v>143257.38331721275</v>
          </cell>
          <cell r="E42">
            <v>7050155.3125436148</v>
          </cell>
          <cell r="F42">
            <v>1184.8138651032291</v>
          </cell>
          <cell r="H42">
            <v>5983063.7159775626</v>
          </cell>
          <cell r="K42">
            <v>50645.677577170158</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Index"/>
      <sheetName val="Consumos"/>
      <sheetName val="Factores"/>
      <sheetName val="Dda max 52"/>
    </sheetNames>
    <sheetDataSet>
      <sheetData sheetId="0">
        <row r="27">
          <cell r="F27">
            <v>142282.73301</v>
          </cell>
          <cell r="J27">
            <v>1331.2729999999999</v>
          </cell>
        </row>
        <row r="31">
          <cell r="F31">
            <v>188740.28461999999</v>
          </cell>
          <cell r="J31">
            <v>1783.21273</v>
          </cell>
        </row>
        <row r="33">
          <cell r="F33">
            <v>105317.54958000001</v>
          </cell>
          <cell r="J33">
            <v>939.21659</v>
          </cell>
          <cell r="K33">
            <v>867.97497162564082</v>
          </cell>
          <cell r="L33">
            <v>7.7405569756096213</v>
          </cell>
        </row>
      </sheetData>
      <sheetData sheetId="1"/>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cos Cisterna" refreshedDate="43020.648076157406" createdVersion="6" refreshedVersion="6" minRefreshableVersion="3" recordCount="117">
  <cacheSource type="worksheet">
    <worksheetSource ref="B7:P124" sheet="Tabla N°3"/>
  </cacheSource>
  <cacheFields count="15">
    <cacheField name="EMPRESA SUMINISTRADORA (2)" numFmtId="0">
      <sharedItems/>
    </cacheField>
    <cacheField name="EMPRESA DISTRIBUIDORA (2)" numFmtId="0">
      <sharedItems count="13">
        <s v="Elecda SIC"/>
        <s v="EMELAT"/>
        <s v="Conafe"/>
        <s v="SAESA"/>
        <s v="CODINER"/>
        <s v="FRONTEL"/>
        <s v="COOPELAN"/>
        <s v="Luzlinares"/>
        <s v="Luzparral"/>
        <s v="Copelec"/>
        <s v="Cooprel"/>
        <s v="Luz Osorno"/>
        <s v="Crell"/>
      </sharedItems>
    </cacheField>
    <cacheField name="SUMINISTRO (2)" numFmtId="0">
      <sharedItems/>
    </cacheField>
    <cacheField name="[kV]" numFmtId="0">
      <sharedItems containsSemiMixedTypes="0" containsString="0" containsNumber="1" containsInteger="1" minValue="220" maxValue="220"/>
    </cacheField>
    <cacheField name="Proceso" numFmtId="0">
      <sharedItems/>
    </cacheField>
    <cacheField name="DE SUMINISTRO (4)" numFmtId="0">
      <sharedItems count="3">
        <s v="BS4A"/>
        <s v="BS4B"/>
        <s v="BS4C"/>
      </sharedItems>
    </cacheField>
    <cacheField name="INICIO" numFmtId="14">
      <sharedItems containsSemiMixedTypes="0" containsNonDate="0" containsDate="1" containsString="0" minDate="2017-01-01T00:00:00" maxDate="2017-01-02T00:00:00"/>
    </cacheField>
    <cacheField name="TERMINO" numFmtId="14">
      <sharedItems containsSemiMixedTypes="0" containsNonDate="0" containsDate="1" containsString="0" minDate="2036-12-31T00:00:00" maxDate="2037-01-01T00:00:00"/>
    </cacheField>
    <cacheField name="TRONCAL (5)" numFmtId="0">
      <sharedItems count="17">
        <s v="Diego de Almagro 220"/>
        <s v="Cardones 220"/>
        <s v="Maitencillo 220"/>
        <s v="Pan de Azucar 220"/>
        <s v="Los Vilos 220"/>
        <s v="Nogales 220"/>
        <s v="Quillota 220"/>
        <s v="Valdivia 220"/>
        <s v="Barro Blanco 220"/>
        <s v="Puerto Montt 220"/>
        <s v="Charrua 220"/>
        <s v="Temuco 220"/>
        <s v="Los Ciruelos 220"/>
        <s v="Hualpen 220"/>
        <s v="Lagunillas 220"/>
        <s v="Ancoa 220"/>
        <s v="Itahue 220"/>
      </sharedItems>
    </cacheField>
    <cacheField name="[$/kW/mes]" numFmtId="4">
      <sharedItems containsSemiMixedTypes="0" containsString="0" containsNumber="1" minValue="0" maxValue="5903.9205526770293"/>
    </cacheField>
    <cacheField name="[$/kWh]" numFmtId="4">
      <sharedItems containsSemiMixedTypes="0" containsString="0" containsNumber="1" minValue="46.391986768379127" maxValue="59.490492355407262"/>
    </cacheField>
    <cacheField name="[MW] (6)" numFmtId="167">
      <sharedItems containsSemiMixedTypes="0" containsString="0" containsNumber="1" minValue="0" maxValue="44.311"/>
    </cacheField>
    <cacheField name="[MWh]" numFmtId="167">
      <sharedItems containsSemiMixedTypes="0" containsString="0" containsNumber="1" minValue="0.16400000000000001" maxValue="9244.0869999999995"/>
    </cacheField>
    <cacheField name="[M$] *" numFmtId="43">
      <sharedItems containsSemiMixedTypes="0" containsString="0" containsNumber="1" minValue="9.4870000000000001" maxValue="534553.28899999999"/>
    </cacheField>
    <cacheField name="[$/kWh] **" numFmtId="43">
      <sharedItems containsSemiMixedTypes="0" containsString="0" containsNumber="1" minValue="46.391986768379127" maxValue="105.3238522887205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7">
  <r>
    <s v="AELA GENERACIÓN S.A."/>
    <x v="0"/>
    <s v="Diego de Almagro 220"/>
    <n v="220"/>
    <s v="2015/02"/>
    <x v="0"/>
    <d v="2017-01-01T00:00:00"/>
    <d v="2036-12-31T00:00:00"/>
    <x v="0"/>
    <n v="0"/>
    <n v="47.294993415325543"/>
    <n v="0"/>
    <n v="44.801000000000002"/>
    <n v="2118.8629999999998"/>
    <n v="47.294993415325543"/>
  </r>
  <r>
    <s v="AELA GENERACIÓN S.A."/>
    <x v="0"/>
    <s v="Diego de Almagro 220"/>
    <n v="220"/>
    <s v="2015/02"/>
    <x v="1"/>
    <d v="2017-01-01T00:00:00"/>
    <d v="2036-12-31T00:00:00"/>
    <x v="0"/>
    <n v="0"/>
    <n v="47.295005614005909"/>
    <n v="0"/>
    <n v="48.094000000000001"/>
    <n v="2274.6060000000002"/>
    <n v="47.295005614005909"/>
  </r>
  <r>
    <s v="AELA GENERACIÓN S.A."/>
    <x v="0"/>
    <s v="Diego de Almagro 220"/>
    <n v="220"/>
    <s v="2015/02"/>
    <x v="2"/>
    <d v="2017-01-01T00:00:00"/>
    <d v="2036-12-31T00:00:00"/>
    <x v="0"/>
    <n v="5665.6907630522091"/>
    <n v="47.294992531012532"/>
    <n v="0.249"/>
    <n v="30.794"/>
    <n v="2867.1590000000001"/>
    <n v="93.107715788790031"/>
  </r>
  <r>
    <s v="AELA GENERACIÓN S.A."/>
    <x v="1"/>
    <s v="Cardones 220"/>
    <n v="220"/>
    <s v="2015/02"/>
    <x v="0"/>
    <d v="2017-01-01T00:00:00"/>
    <d v="2036-12-31T00:00:00"/>
    <x v="1"/>
    <n v="0"/>
    <n v="47.632001018329937"/>
    <n v="0"/>
    <n v="125.696"/>
    <n v="5987.152"/>
    <n v="47.632001018329937"/>
  </r>
  <r>
    <s v="AELA GENERACIÓN S.A."/>
    <x v="1"/>
    <s v="Diego de Almagro 220"/>
    <n v="220"/>
    <s v="2015/02"/>
    <x v="0"/>
    <d v="2017-01-01T00:00:00"/>
    <d v="2036-12-31T00:00:00"/>
    <x v="0"/>
    <n v="0"/>
    <n v="47.294976729256938"/>
    <n v="0"/>
    <n v="12.462"/>
    <n v="589.39"/>
    <n v="47.294976729256938"/>
  </r>
  <r>
    <s v="AELA GENERACIÓN S.A."/>
    <x v="1"/>
    <s v="Maitencillo 220"/>
    <n v="220"/>
    <s v="2015/02"/>
    <x v="0"/>
    <d v="2017-01-01T00:00:00"/>
    <d v="2036-12-31T00:00:00"/>
    <x v="2"/>
    <n v="0"/>
    <n v="46.391986768379127"/>
    <n v="0"/>
    <n v="29.626000000000001"/>
    <n v="1374.4090000000001"/>
    <n v="46.391986768379127"/>
  </r>
  <r>
    <s v="AELA GENERACIÓN S.A."/>
    <x v="1"/>
    <s v="Pan de Azucar 220"/>
    <n v="220"/>
    <s v="2015/02"/>
    <x v="0"/>
    <d v="2017-01-01T00:00:00"/>
    <d v="2036-12-31T00:00:00"/>
    <x v="3"/>
    <n v="0"/>
    <n v="53.296028880866423"/>
    <n v="0"/>
    <n v="0.27700000000000002"/>
    <n v="14.763"/>
    <n v="53.296028880866423"/>
  </r>
  <r>
    <s v="AELA GENERACIÓN S.A."/>
    <x v="1"/>
    <s v="Cardones 220"/>
    <n v="220"/>
    <s v="2015/02"/>
    <x v="1"/>
    <d v="2017-01-01T00:00:00"/>
    <d v="2036-12-31T00:00:00"/>
    <x v="1"/>
    <n v="0"/>
    <n v="47.632002557136005"/>
    <n v="0"/>
    <n v="156.42500000000001"/>
    <n v="7450.8360000000002"/>
    <n v="47.632002557136005"/>
  </r>
  <r>
    <s v="AELA GENERACIÓN S.A."/>
    <x v="1"/>
    <s v="Diego de Almagro 220"/>
    <n v="220"/>
    <s v="2015/02"/>
    <x v="1"/>
    <d v="2017-01-01T00:00:00"/>
    <d v="2036-12-31T00:00:00"/>
    <x v="0"/>
    <n v="0"/>
    <n v="47.294980921631932"/>
    <n v="0"/>
    <n v="13.628"/>
    <n v="644.53599999999994"/>
    <n v="47.294980921631932"/>
  </r>
  <r>
    <s v="AELA GENERACIÓN S.A."/>
    <x v="1"/>
    <s v="Maitencillo 220"/>
    <n v="220"/>
    <s v="2015/02"/>
    <x v="1"/>
    <d v="2017-01-01T00:00:00"/>
    <d v="2036-12-31T00:00:00"/>
    <x v="2"/>
    <n v="0"/>
    <n v="46.392012948957664"/>
    <n v="0"/>
    <n v="35.832999999999998"/>
    <n v="1662.3649999999998"/>
    <n v="46.392012948957664"/>
  </r>
  <r>
    <s v="AELA GENERACIÓN S.A."/>
    <x v="1"/>
    <s v="Pan de Azucar 220"/>
    <n v="220"/>
    <s v="2015/02"/>
    <x v="1"/>
    <d v="2017-01-01T00:00:00"/>
    <d v="2036-12-31T00:00:00"/>
    <x v="3"/>
    <n v="0"/>
    <n v="53.297752808988768"/>
    <n v="0"/>
    <n v="0.17799999999999999"/>
    <n v="9.4870000000000001"/>
    <n v="53.297752808988768"/>
  </r>
  <r>
    <s v="AELA GENERACIÓN S.A."/>
    <x v="1"/>
    <s v="Cardones 220"/>
    <n v="220"/>
    <s v="2015/02"/>
    <x v="2"/>
    <d v="2017-01-01T00:00:00"/>
    <d v="2036-12-31T00:00:00"/>
    <x v="1"/>
    <n v="5903.9205526770293"/>
    <n v="47.63199897938933"/>
    <n v="0.57899999999999996"/>
    <n v="70.546000000000006"/>
    <n v="6778.6170000000002"/>
    <n v="96.087900093555973"/>
  </r>
  <r>
    <s v="AELA GENERACIÓN S.A."/>
    <x v="1"/>
    <s v="Diego de Almagro 220"/>
    <n v="220"/>
    <s v="2015/02"/>
    <x v="2"/>
    <d v="2017-01-01T00:00:00"/>
    <d v="2036-12-31T00:00:00"/>
    <x v="0"/>
    <n v="5665.6935483870975"/>
    <n v="47.294971105373172"/>
    <n v="6.2E-2"/>
    <n v="8.1329999999999991"/>
    <n v="735.923"/>
    <n v="90.486044510020918"/>
  </r>
  <r>
    <s v="AELA GENERACIÓN S.A."/>
    <x v="1"/>
    <s v="Maitencillo 220"/>
    <n v="220"/>
    <s v="2015/02"/>
    <x v="2"/>
    <d v="2017-01-01T00:00:00"/>
    <d v="2036-12-31T00:00:00"/>
    <x v="2"/>
    <n v="5628.4651162790706"/>
    <n v="46.391993526275705"/>
    <n v="0.17199999999999999"/>
    <n v="21.007999999999999"/>
    <n v="1942.6990000000001"/>
    <n v="92.474247905559793"/>
  </r>
  <r>
    <s v="AELA GENERACIÓN S.A."/>
    <x v="1"/>
    <s v="Pan de Azucar 220"/>
    <n v="220"/>
    <s v="2015/02"/>
    <x v="2"/>
    <d v="2017-01-01T00:00:00"/>
    <d v="2036-12-31T00:00:00"/>
    <x v="3"/>
    <n v="5538"/>
    <n v="53.298780487804876"/>
    <n v="1E-3"/>
    <n v="0.16400000000000001"/>
    <n v="14.279"/>
    <n v="87.067073170731703"/>
  </r>
  <r>
    <s v="AELA GENERACIÓN S.A."/>
    <x v="2"/>
    <s v="Los Vilos 220"/>
    <n v="220"/>
    <s v="2015/02"/>
    <x v="0"/>
    <d v="2017-01-01T00:00:00"/>
    <d v="2036-12-31T00:00:00"/>
    <x v="4"/>
    <n v="0"/>
    <n v="55.033999948445356"/>
    <n v="0"/>
    <n v="2948.328"/>
    <n v="162258.283"/>
    <n v="55.033999948445356"/>
  </r>
  <r>
    <s v="AELA GENERACIÓN S.A."/>
    <x v="2"/>
    <s v="Maitencillo 220"/>
    <n v="220"/>
    <s v="2015/02"/>
    <x v="0"/>
    <d v="2017-01-01T00:00:00"/>
    <d v="2036-12-31T00:00:00"/>
    <x v="2"/>
    <n v="0"/>
    <n v="46.391999170963629"/>
    <n v="0"/>
    <n v="318.44200000000001"/>
    <n v="14773.161"/>
    <n v="46.391999170963629"/>
  </r>
  <r>
    <s v="AELA GENERACIÓN S.A."/>
    <x v="2"/>
    <s v="Nogales 220"/>
    <n v="220"/>
    <s v="2015/02"/>
    <x v="0"/>
    <d v="2017-01-01T00:00:00"/>
    <d v="2036-12-31T00:00:00"/>
    <x v="5"/>
    <n v="0"/>
    <n v="53.793996833191827"/>
    <n v="0"/>
    <n v="87.153999999999996"/>
    <n v="4688.3620000000001"/>
    <n v="53.793996833191827"/>
  </r>
  <r>
    <s v="AELA GENERACIÓN S.A."/>
    <x v="2"/>
    <s v="Pan de Azucar 220"/>
    <n v="220"/>
    <s v="2015/02"/>
    <x v="0"/>
    <d v="2017-01-01T00:00:00"/>
    <d v="2036-12-31T00:00:00"/>
    <x v="3"/>
    <n v="0"/>
    <n v="53.296999977081569"/>
    <n v="0"/>
    <n v="7199.4449999999997"/>
    <n v="383708.82"/>
    <n v="53.296999977081569"/>
  </r>
  <r>
    <s v="AELA GENERACIÓN S.A."/>
    <x v="2"/>
    <s v="Quillota 220"/>
    <n v="220"/>
    <s v="2015/02"/>
    <x v="0"/>
    <d v="2017-01-01T00:00:00"/>
    <d v="2036-12-31T00:00:00"/>
    <x v="6"/>
    <n v="0"/>
    <n v="54.633000058357524"/>
    <n v="0"/>
    <n v="2930.2130000000002"/>
    <n v="160086.32699999999"/>
    <n v="54.633000058357524"/>
  </r>
  <r>
    <s v="AELA GENERACIÓN S.A."/>
    <x v="2"/>
    <s v="Los Vilos 220"/>
    <n v="220"/>
    <s v="2015/02"/>
    <x v="1"/>
    <d v="2017-01-01T00:00:00"/>
    <d v="2036-12-31T00:00:00"/>
    <x v="4"/>
    <n v="0"/>
    <n v="55.034000107391051"/>
    <n v="0"/>
    <n v="3966.8110000000001"/>
    <n v="218309.47700000001"/>
    <n v="55.034000107391051"/>
  </r>
  <r>
    <s v="AELA GENERACIÓN S.A."/>
    <x v="2"/>
    <s v="Maitencillo 220"/>
    <n v="220"/>
    <s v="2015/02"/>
    <x v="1"/>
    <d v="2017-01-01T00:00:00"/>
    <d v="2036-12-31T00:00:00"/>
    <x v="2"/>
    <n v="0"/>
    <n v="46.391998876107365"/>
    <n v="0"/>
    <n v="363.024"/>
    <n v="16841.409"/>
    <n v="46.391998876107365"/>
  </r>
  <r>
    <s v="AELA GENERACIÓN S.A."/>
    <x v="2"/>
    <s v="Nogales 220"/>
    <n v="220"/>
    <s v="2015/02"/>
    <x v="1"/>
    <d v="2017-01-01T00:00:00"/>
    <d v="2036-12-31T00:00:00"/>
    <x v="5"/>
    <n v="0"/>
    <n v="53.794000211431964"/>
    <n v="0"/>
    <n v="122.971"/>
    <n v="6615.1019999999999"/>
    <n v="53.794000211431964"/>
  </r>
  <r>
    <s v="AELA GENERACIÓN S.A."/>
    <x v="2"/>
    <s v="Pan de Azucar 220"/>
    <n v="220"/>
    <s v="2015/02"/>
    <x v="1"/>
    <d v="2017-01-01T00:00:00"/>
    <d v="2036-12-31T00:00:00"/>
    <x v="3"/>
    <n v="0"/>
    <n v="53.297000017416536"/>
    <n v="0"/>
    <n v="9244.0869999999995"/>
    <n v="492682.10499999998"/>
    <n v="53.297000017416536"/>
  </r>
  <r>
    <s v="AELA GENERACIÓN S.A."/>
    <x v="2"/>
    <s v="Quillota 220"/>
    <n v="220"/>
    <s v="2015/02"/>
    <x v="1"/>
    <d v="2017-01-01T00:00:00"/>
    <d v="2036-12-31T00:00:00"/>
    <x v="6"/>
    <n v="0"/>
    <n v="54.632999984127018"/>
    <n v="0"/>
    <n v="4032.0079999999998"/>
    <n v="220280.693"/>
    <n v="54.632999984127018"/>
  </r>
  <r>
    <s v="AELA GENERACIÓN S.A."/>
    <x v="2"/>
    <s v="Los Vilos 220"/>
    <n v="220"/>
    <s v="2015/02"/>
    <x v="2"/>
    <d v="2017-01-01T00:00:00"/>
    <d v="2036-12-31T00:00:00"/>
    <x v="4"/>
    <n v="5700.6018974864464"/>
    <n v="55.034000038811122"/>
    <n v="16.231999999999999"/>
    <n v="2009.7329999999999"/>
    <n v="203135.81599999999"/>
    <n v="101.07602154116989"/>
  </r>
  <r>
    <s v="AELA GENERACIÓN S.A."/>
    <x v="2"/>
    <s v="Maitencillo 220"/>
    <n v="220"/>
    <s v="2015/02"/>
    <x v="2"/>
    <d v="2017-01-01T00:00:00"/>
    <d v="2036-12-31T00:00:00"/>
    <x v="2"/>
    <n v="5628.4648437500009"/>
    <n v="46.392000660420187"/>
    <n v="2.3039999999999998"/>
    <n v="266.49700000000001"/>
    <n v="25331.312000000002"/>
    <n v="95.052897405974548"/>
  </r>
  <r>
    <s v="AELA GENERACIÓN S.A."/>
    <x v="2"/>
    <s v="Nogales 220"/>
    <n v="220"/>
    <s v="2015/02"/>
    <x v="2"/>
    <d v="2017-01-01T00:00:00"/>
    <d v="2036-12-31T00:00:00"/>
    <x v="5"/>
    <n v="5636.9281524926682"/>
    <n v="53.793995040546875"/>
    <n v="0.68200000000000005"/>
    <n v="74.605000000000004"/>
    <n v="7857.6859999999997"/>
    <n v="105.32385228872059"/>
  </r>
  <r>
    <s v="AELA GENERACIÓN S.A."/>
    <x v="2"/>
    <s v="Pan de Azucar 220"/>
    <n v="220"/>
    <s v="2015/02"/>
    <x v="2"/>
    <d v="2017-01-01T00:00:00"/>
    <d v="2036-12-31T00:00:00"/>
    <x v="3"/>
    <n v="5537.8144930152785"/>
    <n v="53.297000081650239"/>
    <n v="44.311"/>
    <n v="5425.5810000000001"/>
    <n v="534553.28899999999"/>
    <n v="98.524616810623598"/>
  </r>
  <r>
    <s v="AELA GENERACIÓN S.A."/>
    <x v="2"/>
    <s v="Quillota 220"/>
    <n v="220"/>
    <s v="2015/02"/>
    <x v="2"/>
    <d v="2017-01-01T00:00:00"/>
    <d v="2036-12-31T00:00:00"/>
    <x v="6"/>
    <n v="5623.9687879070634"/>
    <n v="54.633000003252533"/>
    <n v="21.434000000000001"/>
    <n v="2459.6239999999998"/>
    <n v="254920.785"/>
    <n v="103.64217660910775"/>
  </r>
  <r>
    <s v="AELA GENERACIÓN S.A."/>
    <x v="3"/>
    <s v="Valdivia 220"/>
    <n v="220"/>
    <s v="2015/02"/>
    <x v="0"/>
    <d v="2017-01-01T00:00:00"/>
    <d v="2036-12-31T00:00:00"/>
    <x v="7"/>
    <n v="0"/>
    <n v="58.02383814401788"/>
    <n v="0"/>
    <n v="143.61799999999999"/>
    <n v="8333.2675865675592"/>
    <n v="58.02383814401788"/>
  </r>
  <r>
    <s v="AELA GENERACIÓN S.A."/>
    <x v="3"/>
    <s v="Barro Blanco 220"/>
    <n v="220"/>
    <s v="2015/02"/>
    <x v="0"/>
    <d v="2017-01-01T00:00:00"/>
    <d v="2036-12-31T00:00:00"/>
    <x v="8"/>
    <n v="0"/>
    <n v="58.60193542441953"/>
    <n v="0"/>
    <n v="109.858"/>
    <n v="6437.8914218558812"/>
    <n v="58.60193542441953"/>
  </r>
  <r>
    <s v="AELA GENERACIÓN S.A."/>
    <x v="3"/>
    <s v="Puerto Montt 220"/>
    <n v="220"/>
    <s v="2015/02"/>
    <x v="0"/>
    <d v="2017-01-01T00:00:00"/>
    <d v="2036-12-31T00:00:00"/>
    <x v="9"/>
    <n v="0"/>
    <n v="59.490492355407255"/>
    <n v="0"/>
    <n v="321.29199999999997"/>
    <n v="19113.819269853506"/>
    <n v="59.490492355407255"/>
  </r>
  <r>
    <s v="AELA GENERACIÓN S.A."/>
    <x v="3"/>
    <s v="Charrua 220"/>
    <n v="220"/>
    <s v="2015/02"/>
    <x v="0"/>
    <d v="2017-01-01T00:00:00"/>
    <d v="2036-12-31T00:00:00"/>
    <x v="10"/>
    <n v="0"/>
    <n v="49.769893640505359"/>
    <n v="0"/>
    <n v="1.206"/>
    <n v="60.02249173044946"/>
    <n v="49.769893640505359"/>
  </r>
  <r>
    <s v="AELA GENERACIÓN S.A."/>
    <x v="3"/>
    <s v="Temuco 220"/>
    <n v="220"/>
    <s v="2015/02"/>
    <x v="0"/>
    <d v="2017-01-01T00:00:00"/>
    <d v="2036-12-31T00:00:00"/>
    <x v="11"/>
    <n v="0"/>
    <n v="51.183020325931636"/>
    <n v="0"/>
    <n v="11.582000000000001"/>
    <n v="592.80174141494024"/>
    <n v="51.183020325931636"/>
  </r>
  <r>
    <s v="AELA GENERACIÓN S.A."/>
    <x v="3"/>
    <s v="Los Ciruelos 220"/>
    <n v="220"/>
    <s v="2015/02"/>
    <x v="0"/>
    <d v="2017-01-01T00:00:00"/>
    <d v="2036-12-31T00:00:00"/>
    <x v="12"/>
    <n v="0"/>
    <n v="57.782964277183844"/>
    <n v="0"/>
    <n v="5.8780000000000001"/>
    <n v="339.64826402128665"/>
    <n v="57.782964277183844"/>
  </r>
  <r>
    <s v="AELA GENERACIÓN S.A."/>
    <x v="3"/>
    <s v="Valdivia 220"/>
    <n v="220"/>
    <s v="2015/02"/>
    <x v="1"/>
    <d v="2017-01-01T00:00:00"/>
    <d v="2036-12-31T00:00:00"/>
    <x v="7"/>
    <n v="0"/>
    <n v="58.023838144017873"/>
    <n v="0"/>
    <n v="212.47900000000001"/>
    <n v="12328.847105002775"/>
    <n v="58.023838144017873"/>
  </r>
  <r>
    <s v="AELA GENERACIÓN S.A."/>
    <x v="3"/>
    <s v="Barro Blanco 220"/>
    <n v="220"/>
    <s v="2015/02"/>
    <x v="1"/>
    <d v="2017-01-01T00:00:00"/>
    <d v="2036-12-31T00:00:00"/>
    <x v="8"/>
    <n v="0"/>
    <n v="58.60193542441953"/>
    <n v="0"/>
    <n v="157.97"/>
    <n v="9257.3477389955533"/>
    <n v="58.60193542441953"/>
  </r>
  <r>
    <s v="AELA GENERACIÓN S.A."/>
    <x v="3"/>
    <s v="Puerto Montt 220"/>
    <n v="220"/>
    <s v="2015/02"/>
    <x v="1"/>
    <d v="2017-01-01T00:00:00"/>
    <d v="2036-12-31T00:00:00"/>
    <x v="9"/>
    <n v="0"/>
    <n v="59.490492355407255"/>
    <n v="0"/>
    <n v="450.072"/>
    <n v="26775.004875382856"/>
    <n v="59.490492355407255"/>
  </r>
  <r>
    <s v="AELA GENERACIÓN S.A."/>
    <x v="3"/>
    <s v="Charrua 220"/>
    <n v="220"/>
    <s v="2015/02"/>
    <x v="1"/>
    <d v="2017-01-01T00:00:00"/>
    <d v="2036-12-31T00:00:00"/>
    <x v="10"/>
    <n v="0"/>
    <n v="49.769893640505366"/>
    <n v="0"/>
    <n v="1.55"/>
    <n v="77.143335142783314"/>
    <n v="49.769893640505366"/>
  </r>
  <r>
    <s v="AELA GENERACIÓN S.A."/>
    <x v="3"/>
    <s v="Temuco 220"/>
    <n v="220"/>
    <s v="2015/02"/>
    <x v="1"/>
    <d v="2017-01-01T00:00:00"/>
    <d v="2036-12-31T00:00:00"/>
    <x v="11"/>
    <n v="0"/>
    <n v="51.183020325931643"/>
    <n v="0"/>
    <n v="14.89"/>
    <n v="762.11517265312216"/>
    <n v="51.183020325931643"/>
  </r>
  <r>
    <s v="AELA GENERACIÓN S.A."/>
    <x v="3"/>
    <s v="Los Ciruelos 220"/>
    <n v="220"/>
    <s v="2015/02"/>
    <x v="1"/>
    <d v="2017-01-01T00:00:00"/>
    <d v="2036-12-31T00:00:00"/>
    <x v="12"/>
    <n v="0"/>
    <n v="57.782964277183851"/>
    <n v="0"/>
    <n v="8.6579999999999995"/>
    <n v="500.28490471185773"/>
    <n v="57.782964277183851"/>
  </r>
  <r>
    <s v="AELA GENERACIÓN S.A."/>
    <x v="3"/>
    <s v="Valdivia 220"/>
    <n v="220"/>
    <s v="2015/02"/>
    <x v="2"/>
    <d v="2017-01-01T00:00:00"/>
    <d v="2036-12-31T00:00:00"/>
    <x v="7"/>
    <n v="5344.8146009284192"/>
    <n v="58.023838144017866"/>
    <n v="0.94099999999999995"/>
    <n v="114.241"/>
    <n v="11658.171832884387"/>
    <n v="102.04893018167196"/>
  </r>
  <r>
    <s v="AELA GENERACIÓN S.A."/>
    <x v="3"/>
    <s v="Barro Blanco 220"/>
    <n v="220"/>
    <s v="2015/02"/>
    <x v="2"/>
    <d v="2017-01-01T00:00:00"/>
    <d v="2036-12-31T00:00:00"/>
    <x v="8"/>
    <n v="5356.0965314844661"/>
    <n v="58.601935424419537"/>
    <n v="0.61299999999999999"/>
    <n v="76.662999999999997"/>
    <n v="7775.8873492422526"/>
    <n v="101.42946857339594"/>
  </r>
  <r>
    <s v="AELA GENERACIÓN S.A."/>
    <x v="3"/>
    <s v="Puerto Montt 220"/>
    <n v="220"/>
    <s v="2015/02"/>
    <x v="2"/>
    <d v="2017-01-01T00:00:00"/>
    <d v="2036-12-31T00:00:00"/>
    <x v="9"/>
    <n v="5437.3264314880234"/>
    <n v="59.490492355407255"/>
    <n v="1.534"/>
    <n v="212.154"/>
    <n v="20962.004661071696"/>
    <n v="98.805606592718959"/>
  </r>
  <r>
    <s v="AELA GENERACIÓN S.A."/>
    <x v="3"/>
    <s v="Charrua 220"/>
    <n v="220"/>
    <s v="2015/02"/>
    <x v="2"/>
    <d v="2017-01-01T00:00:00"/>
    <d v="2036-12-31T00:00:00"/>
    <x v="10"/>
    <n v="5075.7405571666386"/>
    <n v="49.769893640505359"/>
    <n v="8.0000000000000002E-3"/>
    <n v="0.92400000000000004"/>
    <n v="86.593306181160074"/>
    <n v="93.71569933025981"/>
  </r>
  <r>
    <s v="AELA GENERACIÓN S.A."/>
    <x v="3"/>
    <s v="Temuco 220"/>
    <n v="220"/>
    <s v="2015/02"/>
    <x v="2"/>
    <d v="2017-01-01T00:00:00"/>
    <d v="2036-12-31T00:00:00"/>
    <x v="11"/>
    <n v="5185.1752835603183"/>
    <n v="51.183020325931636"/>
    <n v="7.5999999999999998E-2"/>
    <n v="8.8710000000000004"/>
    <n v="848.11789486192379"/>
    <n v="95.605669582000203"/>
  </r>
  <r>
    <s v="AELA GENERACIÓN S.A."/>
    <x v="3"/>
    <s v="Los Ciruelos 220"/>
    <n v="220"/>
    <s v="2015/02"/>
    <x v="2"/>
    <d v="2017-01-01T00:00:00"/>
    <d v="2036-12-31T00:00:00"/>
    <x v="12"/>
    <n v="5372.4553307907381"/>
    <n v="57.782964277183851"/>
    <n v="0.04"/>
    <n v="5.0209999999999999"/>
    <n v="505.02647686736964"/>
    <n v="100.58284741433373"/>
  </r>
  <r>
    <s v="AELA GENERACIÓN S.A."/>
    <x v="4"/>
    <s v="Charrua 220"/>
    <n v="220"/>
    <s v="2015/02"/>
    <x v="0"/>
    <d v="2017-01-01T00:00:00"/>
    <d v="2036-12-31T00:00:00"/>
    <x v="10"/>
    <n v="0"/>
    <n v="49.77"/>
    <n v="0"/>
    <n v="17.901399576185248"/>
    <n v="890.95265690673989"/>
    <n v="49.77"/>
  </r>
  <r>
    <s v="AELA GENERACIÓN S.A."/>
    <x v="4"/>
    <s v="Temuco 220"/>
    <n v="220"/>
    <s v="2015/02"/>
    <x v="0"/>
    <d v="2017-01-01T00:00:00"/>
    <d v="2036-12-31T00:00:00"/>
    <x v="11"/>
    <n v="0"/>
    <n v="51.183"/>
    <n v="0"/>
    <n v="143.73353283933682"/>
    <n v="7356.7134113157763"/>
    <n v="51.183"/>
  </r>
  <r>
    <s v="AELA GENERACIÓN S.A."/>
    <x v="4"/>
    <s v="Charrua 220"/>
    <n v="220"/>
    <s v="2015/02"/>
    <x v="1"/>
    <d v="2017-01-01T00:00:00"/>
    <d v="2036-12-31T00:00:00"/>
    <x v="10"/>
    <n v="0"/>
    <n v="49.77000000000001"/>
    <n v="0"/>
    <n v="20.613634414467001"/>
    <n v="1025.9405848080228"/>
    <n v="49.77000000000001"/>
  </r>
  <r>
    <s v="AELA GENERACIÓN S.A."/>
    <x v="4"/>
    <s v="Temuco 220"/>
    <n v="220"/>
    <s v="2015/02"/>
    <x v="1"/>
    <d v="2017-01-01T00:00:00"/>
    <d v="2036-12-31T00:00:00"/>
    <x v="11"/>
    <n v="0"/>
    <n v="51.183"/>
    <n v="0"/>
    <n v="167.8728190474996"/>
    <n v="8592.2344973081726"/>
    <n v="51.183"/>
  </r>
  <r>
    <s v="AELA GENERACIÓN S.A."/>
    <x v="4"/>
    <s v="Charrua 220"/>
    <n v="220"/>
    <s v="2015/02"/>
    <x v="2"/>
    <d v="2017-01-01T00:00:00"/>
    <d v="2036-12-31T00:00:00"/>
    <x v="10"/>
    <n v="5075.7340000000013"/>
    <n v="49.77"/>
    <n v="1.1047556202151428E-2"/>
    <n v="8.3726534190295059"/>
    <n v="472.7814172972694"/>
    <n v="56.46733402611936"/>
  </r>
  <r>
    <s v="AELA GENERACIÓN S.A."/>
    <x v="4"/>
    <s v="Temuco 220"/>
    <n v="220"/>
    <s v="2015/02"/>
    <x v="2"/>
    <d v="2017-01-01T00:00:00"/>
    <d v="2036-12-31T00:00:00"/>
    <x v="11"/>
    <n v="5185.1488099999997"/>
    <n v="51.183000000000007"/>
    <n v="8.9573290165770134E-2"/>
    <n v="67.877730420798713"/>
    <n v="3938.6367150385686"/>
    <n v="58.0254627050953"/>
  </r>
  <r>
    <s v="AELA GENERACIÓN S.A."/>
    <x v="5"/>
    <s v="Charrua 220"/>
    <n v="220"/>
    <s v="2015/02"/>
    <x v="0"/>
    <d v="2017-01-01T00:00:00"/>
    <d v="2036-12-31T00:00:00"/>
    <x v="10"/>
    <n v="0"/>
    <n v="49.769893640505352"/>
    <n v="0"/>
    <n v="377.90126945450362"/>
    <n v="18808.1059873626"/>
    <n v="49.769893640505352"/>
  </r>
  <r>
    <s v="AELA GENERACIÓN S.A."/>
    <x v="5"/>
    <s v="Temuco 220"/>
    <n v="220"/>
    <s v="2015/02"/>
    <x v="0"/>
    <d v="2017-01-01T00:00:00"/>
    <d v="2036-12-31T00:00:00"/>
    <x v="11"/>
    <n v="0"/>
    <n v="51.183020325931636"/>
    <n v="0"/>
    <n v="288.97563912455985"/>
    <n v="14790.646011011431"/>
    <n v="51.183020325931636"/>
  </r>
  <r>
    <s v="AELA GENERACIÓN S.A."/>
    <x v="5"/>
    <s v="Hualpen 220"/>
    <n v="220"/>
    <s v="2015/02"/>
    <x v="0"/>
    <d v="2017-01-01T00:00:00"/>
    <d v="2036-12-31T00:00:00"/>
    <x v="13"/>
    <n v="0"/>
    <n v="49.427317474341429"/>
    <n v="0"/>
    <n v="6.1717231959157077"/>
    <n v="305.05172176828279"/>
    <n v="49.427317474341429"/>
  </r>
  <r>
    <s v="AELA GENERACIÓN S.A."/>
    <x v="5"/>
    <s v="Lagunillas 220"/>
    <n v="220"/>
    <s v="2015/02"/>
    <x v="0"/>
    <d v="2017-01-01T00:00:00"/>
    <d v="2036-12-31T00:00:00"/>
    <x v="14"/>
    <n v="0"/>
    <n v="49.213207370488945"/>
    <n v="0"/>
    <n v="167.6231941125597"/>
    <n v="8249.2750119651228"/>
    <n v="49.213207370488945"/>
  </r>
  <r>
    <s v="AELA GENERACIÓN S.A."/>
    <x v="5"/>
    <s v="Charrua 220"/>
    <n v="220"/>
    <s v="2015/02"/>
    <x v="1"/>
    <d v="2017-01-01T00:00:00"/>
    <d v="2036-12-31T00:00:00"/>
    <x v="10"/>
    <n v="0"/>
    <n v="49.769893640505352"/>
    <n v="0"/>
    <n v="530.35444076233262"/>
    <n v="26395.684108510992"/>
    <n v="49.769893640505352"/>
  </r>
  <r>
    <s v="AELA GENERACIÓN S.A."/>
    <x v="5"/>
    <s v="Temuco 220"/>
    <n v="220"/>
    <s v="2015/02"/>
    <x v="1"/>
    <d v="2017-01-01T00:00:00"/>
    <d v="2036-12-31T00:00:00"/>
    <x v="11"/>
    <n v="0"/>
    <n v="51.183020325931629"/>
    <n v="0"/>
    <n v="407.58957969067058"/>
    <n v="20861.665741945522"/>
    <n v="51.183020325931629"/>
  </r>
  <r>
    <s v="AELA GENERACIÓN S.A."/>
    <x v="5"/>
    <s v="Hualpen 220"/>
    <n v="220"/>
    <s v="2015/02"/>
    <x v="1"/>
    <d v="2017-01-01T00:00:00"/>
    <d v="2036-12-31T00:00:00"/>
    <x v="13"/>
    <n v="0"/>
    <n v="49.427317474341422"/>
    <n v="0"/>
    <n v="8.1859937305332213"/>
    <n v="404.61171096203401"/>
    <n v="49.427317474341422"/>
  </r>
  <r>
    <s v="AELA GENERACIÓN S.A."/>
    <x v="5"/>
    <s v="Lagunillas 220"/>
    <n v="220"/>
    <s v="2015/02"/>
    <x v="1"/>
    <d v="2017-01-01T00:00:00"/>
    <d v="2036-12-31T00:00:00"/>
    <x v="14"/>
    <n v="0"/>
    <n v="49.213207370488945"/>
    <n v="0"/>
    <n v="228.93223132586692"/>
    <n v="11266.489374028633"/>
    <n v="49.213207370488945"/>
  </r>
  <r>
    <s v="AELA GENERACIÓN S.A."/>
    <x v="5"/>
    <s v="Charrua 220"/>
    <n v="220"/>
    <s v="2015/02"/>
    <x v="2"/>
    <d v="2017-01-01T00:00:00"/>
    <d v="2036-12-31T00:00:00"/>
    <x v="10"/>
    <n v="5075.7405571666386"/>
    <n v="49.769893640505352"/>
    <n v="2.3751845045794902"/>
    <n v="291.89241459801417"/>
    <n v="26583.274749661323"/>
    <n v="91.072167073169894"/>
  </r>
  <r>
    <s v="AELA GENERACIÓN S.A."/>
    <x v="5"/>
    <s v="Temuco 220"/>
    <n v="220"/>
    <s v="2015/02"/>
    <x v="2"/>
    <d v="2017-01-01T00:00:00"/>
    <d v="2036-12-31T00:00:00"/>
    <x v="11"/>
    <n v="5185.1752835603183"/>
    <n v="51.183020325931636"/>
    <n v="1.8640911811074392"/>
    <n v="210.46869545620069"/>
    <n v="20438.06303608809"/>
    <n v="97.107377378795633"/>
  </r>
  <r>
    <s v="AELA GENERACIÓN S.A."/>
    <x v="5"/>
    <s v="Hualpen 220"/>
    <n v="220"/>
    <s v="2015/02"/>
    <x v="2"/>
    <d v="2017-01-01T00:00:00"/>
    <d v="2036-12-31T00:00:00"/>
    <x v="13"/>
    <n v="5035.1256071648604"/>
    <n v="49.427317474341422"/>
    <n v="3.5758302546669903E-2"/>
    <n v="4.3797480550376173"/>
    <n v="396.52674239545973"/>
    <n v="90.536427532486002"/>
  </r>
  <r>
    <s v="AELA GENERACIÓN S.A."/>
    <x v="5"/>
    <s v="Lagunillas 220"/>
    <n v="220"/>
    <s v="2015/02"/>
    <x v="2"/>
    <d v="2017-01-01T00:00:00"/>
    <d v="2036-12-31T00:00:00"/>
    <x v="14"/>
    <n v="5049.7921168877247"/>
    <n v="49.213207370488952"/>
    <n v="1.1848138651032292"/>
    <n v="143.25738331721274"/>
    <n v="13033.219028521176"/>
    <n v="90.977642664754725"/>
  </r>
  <r>
    <s v="AELA GENERACIÓN S.A."/>
    <x v="6"/>
    <s v="Charrua 220"/>
    <n v="220"/>
    <s v="2015/02"/>
    <x v="0"/>
    <d v="2017-01-01T00:00:00"/>
    <d v="2036-12-31T00:00:00"/>
    <x v="10"/>
    <n v="0"/>
    <n v="50.875999999999998"/>
    <n v="0"/>
    <n v="142.28273300999999"/>
    <n v="7238.7763246167588"/>
    <n v="50.875999999999998"/>
  </r>
  <r>
    <s v="AELA GENERACIÓN S.A."/>
    <x v="6"/>
    <s v="Hualpen 220"/>
    <n v="220"/>
    <s v="2015/02"/>
    <x v="0"/>
    <d v="2017-01-01T00:00:00"/>
    <d v="2036-12-31T00:00:00"/>
    <x v="13"/>
    <n v="0"/>
    <n v="50.32"/>
    <n v="0"/>
    <n v="1.3312729999999999"/>
    <n v="66.989657359999995"/>
    <n v="50.32"/>
  </r>
  <r>
    <s v="AELA GENERACIÓN S.A."/>
    <x v="6"/>
    <s v="Charrua 220"/>
    <n v="220"/>
    <s v="2015/02"/>
    <x v="1"/>
    <d v="2017-01-01T00:00:00"/>
    <d v="2036-12-31T00:00:00"/>
    <x v="10"/>
    <n v="0"/>
    <n v="50.875999999999998"/>
    <n v="0"/>
    <n v="188.74028461999998"/>
    <n v="9602.3507203271183"/>
    <n v="50.875999999999998"/>
  </r>
  <r>
    <s v="AELA GENERACIÓN S.A."/>
    <x v="6"/>
    <s v="Hualpen 220"/>
    <n v="220"/>
    <s v="2015/02"/>
    <x v="1"/>
    <d v="2017-01-01T00:00:00"/>
    <d v="2036-12-31T00:00:00"/>
    <x v="13"/>
    <n v="0"/>
    <n v="50.32"/>
    <n v="0"/>
    <n v="1.78321273"/>
    <n v="89.731264573600001"/>
    <n v="50.32"/>
  </r>
  <r>
    <s v="AELA GENERACIÓN S.A."/>
    <x v="6"/>
    <s v="Charrua 220"/>
    <n v="220"/>
    <s v="2015/02"/>
    <x v="2"/>
    <d v="2017-01-01T00:00:00"/>
    <d v="2036-12-31T00:00:00"/>
    <x v="10"/>
    <n v="5282.6574000000001"/>
    <n v="50.875999999999998"/>
    <n v="0.86797497162564086"/>
    <n v="105.31754958"/>
    <n v="9943.350059305063"/>
    <n v="94.413040361825168"/>
  </r>
  <r>
    <s v="AELA GENERACIÓN S.A."/>
    <x v="6"/>
    <s v="Hualpen 220"/>
    <n v="220"/>
    <s v="2015/02"/>
    <x v="2"/>
    <d v="2017-01-01T00:00:00"/>
    <d v="2036-12-31T00:00:00"/>
    <x v="13"/>
    <n v="5317.5688"/>
    <n v="50.32"/>
    <n v="7.7405569756096217E-3"/>
    <n v="0.93921659000000002"/>
    <n v="88.422323076924087"/>
    <n v="94.144762793131761"/>
  </r>
  <r>
    <s v="AELA GENERACIÓN S.A."/>
    <x v="7"/>
    <s v="Ancoa 220"/>
    <n v="220"/>
    <s v="2015/02"/>
    <x v="0"/>
    <d v="2017-01-01T00:00:00"/>
    <d v="2036-12-31T00:00:00"/>
    <x v="15"/>
    <n v="0"/>
    <n v="51.96200000000001"/>
    <n v="0"/>
    <n v="57.45917811201047"/>
    <n v="2985.6938130562885"/>
    <n v="51.96200000000001"/>
  </r>
  <r>
    <s v="AELA GENERACIÓN S.A."/>
    <x v="7"/>
    <s v="Charrua 220"/>
    <n v="220"/>
    <s v="2015/02"/>
    <x v="0"/>
    <d v="2017-01-01T00:00:00"/>
    <d v="2036-12-31T00:00:00"/>
    <x v="10"/>
    <n v="0"/>
    <n v="49.00500000000001"/>
    <n v="0"/>
    <n v="42.598436567048175"/>
    <n v="2087.5363839681963"/>
    <n v="49.00500000000001"/>
  </r>
  <r>
    <s v="AELA GENERACIÓN S.A."/>
    <x v="7"/>
    <s v="Itahue 220"/>
    <n v="220"/>
    <s v="2015/02"/>
    <x v="0"/>
    <d v="2017-01-01T00:00:00"/>
    <d v="2036-12-31T00:00:00"/>
    <x v="16"/>
    <n v="0"/>
    <n v="52.567999999999998"/>
    <n v="0"/>
    <n v="22.3419640353438"/>
    <n v="1174.4723654099528"/>
    <n v="52.567999999999998"/>
  </r>
  <r>
    <s v="AELA GENERACIÓN S.A."/>
    <x v="7"/>
    <s v="Ancoa 220"/>
    <n v="220"/>
    <s v="2015/02"/>
    <x v="1"/>
    <d v="2017-01-01T00:00:00"/>
    <d v="2036-12-31T00:00:00"/>
    <x v="15"/>
    <n v="0"/>
    <n v="51.962000000000003"/>
    <n v="0"/>
    <n v="80.723515199853409"/>
    <n v="4194.5552968147831"/>
    <n v="51.962000000000003"/>
  </r>
  <r>
    <s v="AELA GENERACIÓN S.A."/>
    <x v="7"/>
    <s v="Charrua 220"/>
    <n v="220"/>
    <s v="2015/02"/>
    <x v="1"/>
    <d v="2017-01-01T00:00:00"/>
    <d v="2036-12-31T00:00:00"/>
    <x v="10"/>
    <n v="0"/>
    <n v="49.005000000000003"/>
    <n v="0"/>
    <n v="61.252119820773551"/>
    <n v="3001.6601318170078"/>
    <n v="49.005000000000003"/>
  </r>
  <r>
    <s v="AELA GENERACIÓN S.A."/>
    <x v="7"/>
    <s v="Itahue 220"/>
    <n v="220"/>
    <s v="2015/02"/>
    <x v="1"/>
    <d v="2017-01-01T00:00:00"/>
    <d v="2036-12-31T00:00:00"/>
    <x v="16"/>
    <n v="0"/>
    <n v="52.568000000000005"/>
    <n v="0"/>
    <n v="30.687085123248895"/>
    <n v="1613.1586907589481"/>
    <n v="52.568000000000005"/>
  </r>
  <r>
    <s v="AELA GENERACIÓN S.A."/>
    <x v="7"/>
    <s v="Ancoa 220"/>
    <n v="220"/>
    <s v="2015/02"/>
    <x v="2"/>
    <d v="2017-01-01T00:00:00"/>
    <d v="2036-12-31T00:00:00"/>
    <x v="15"/>
    <n v="5458.7000000000007"/>
    <n v="51.96200000000001"/>
    <n v="5.9803975773134795E-2"/>
    <n v="36.188274709491516"/>
    <n v="2206.8670930074095"/>
    <n v="60.982931922659162"/>
  </r>
  <r>
    <s v="AELA GENERACIÓN S.A."/>
    <x v="7"/>
    <s v="Charrua 220"/>
    <n v="220"/>
    <s v="2015/02"/>
    <x v="2"/>
    <d v="2017-01-01T00:00:00"/>
    <d v="2036-12-31T00:00:00"/>
    <x v="10"/>
    <n v="5031.49"/>
    <n v="49.005000000000003"/>
    <n v="5.0070342341883053E-2"/>
    <n v="30.298308432536007"/>
    <n v="1736.6970315261883"/>
    <n v="57.319933731390314"/>
  </r>
  <r>
    <s v="AELA GENERACIÓN S.A."/>
    <x v="7"/>
    <s v="Itahue 220"/>
    <n v="220"/>
    <s v="2015/02"/>
    <x v="2"/>
    <d v="2017-01-01T00:00:00"/>
    <d v="2036-12-31T00:00:00"/>
    <x v="16"/>
    <n v="5512.38"/>
    <n v="52.567999999999998"/>
    <n v="2.0431109347215013E-2"/>
    <n v="12.363167968655622"/>
    <n v="762.53105231968982"/>
    <n v="61.677642352909636"/>
  </r>
  <r>
    <s v="AELA GENERACIÓN S.A."/>
    <x v="8"/>
    <s v="Ancoa 220"/>
    <n v="220"/>
    <s v="2015/02"/>
    <x v="0"/>
    <d v="2017-01-01T00:00:00"/>
    <d v="2036-12-31T00:00:00"/>
    <x v="15"/>
    <n v="0"/>
    <n v="51.962000000000003"/>
    <n v="0"/>
    <n v="3.5813843179477773"/>
    <n v="186.09589192920242"/>
    <n v="51.962000000000003"/>
  </r>
  <r>
    <s v="AELA GENERACIÓN S.A."/>
    <x v="8"/>
    <s v="Charrua 220"/>
    <n v="220"/>
    <s v="2015/02"/>
    <x v="0"/>
    <d v="2017-01-01T00:00:00"/>
    <d v="2036-12-31T00:00:00"/>
    <x v="10"/>
    <n v="0"/>
    <n v="49.005000000000003"/>
    <n v="0"/>
    <n v="8.280289401423774"/>
    <n v="405.77558211677206"/>
    <n v="49.005000000000003"/>
  </r>
  <r>
    <s v="AELA GENERACIÓN S.A."/>
    <x v="8"/>
    <s v="Itahue 220"/>
    <n v="220"/>
    <s v="2015/02"/>
    <x v="0"/>
    <d v="2017-01-01T00:00:00"/>
    <d v="2036-12-31T00:00:00"/>
    <x v="16"/>
    <n v="0"/>
    <n v="52.567999999999998"/>
    <n v="0"/>
    <n v="2.3755755545757644"/>
    <n v="124.87925575293878"/>
    <n v="52.567999999999998"/>
  </r>
  <r>
    <s v="AELA GENERACIÓN S.A."/>
    <x v="8"/>
    <s v="Ancoa 220"/>
    <n v="220"/>
    <s v="2015/02"/>
    <x v="1"/>
    <d v="2017-01-01T00:00:00"/>
    <d v="2036-12-31T00:00:00"/>
    <x v="15"/>
    <n v="0"/>
    <n v="51.962000000000003"/>
    <n v="0"/>
    <n v="5.7023109637450409"/>
    <n v="296.30348229811983"/>
    <n v="51.962000000000003"/>
  </r>
  <r>
    <s v="AELA GENERACIÓN S.A."/>
    <x v="8"/>
    <s v="Charrua 220"/>
    <n v="220"/>
    <s v="2015/02"/>
    <x v="1"/>
    <d v="2017-01-01T00:00:00"/>
    <d v="2036-12-31T00:00:00"/>
    <x v="10"/>
    <n v="0"/>
    <n v="49.005000000000003"/>
    <n v="0"/>
    <n v="13.369355763196939"/>
    <n v="655.16527917546603"/>
    <n v="49.005000000000003"/>
  </r>
  <r>
    <s v="AELA GENERACIÓN S.A."/>
    <x v="8"/>
    <s v="Itahue 220"/>
    <n v="220"/>
    <s v="2015/02"/>
    <x v="1"/>
    <d v="2017-01-01T00:00:00"/>
    <d v="2036-12-31T00:00:00"/>
    <x v="16"/>
    <n v="0"/>
    <n v="52.567999999999998"/>
    <n v="0"/>
    <n v="4.3148305136873022"/>
    <n v="226.8220104435141"/>
    <n v="52.567999999999998"/>
  </r>
  <r>
    <s v="AELA GENERACIÓN S.A."/>
    <x v="8"/>
    <s v="Ancoa 220"/>
    <n v="220"/>
    <s v="2015/02"/>
    <x v="2"/>
    <d v="2017-01-01T00:00:00"/>
    <d v="2036-12-31T00:00:00"/>
    <x v="15"/>
    <n v="5458.7000000000016"/>
    <n v="51.962000000000003"/>
    <n v="3.1680234381260448E-3"/>
    <n v="2.2215372017511736"/>
    <n v="132.72880561909315"/>
    <n v="59.746379900578241"/>
  </r>
  <r>
    <s v="AELA GENERACIÓN S.A."/>
    <x v="8"/>
    <s v="Charrua 220"/>
    <n v="220"/>
    <s v="2015/02"/>
    <x v="2"/>
    <d v="2017-01-01T00:00:00"/>
    <d v="2036-12-31T00:00:00"/>
    <x v="10"/>
    <n v="5031.49"/>
    <n v="49.005000000000003"/>
    <n v="7.5496315768376256E-3"/>
    <n v="5.2940856452062866"/>
    <n v="297.42256282587681"/>
    <n v="56.180157020162376"/>
  </r>
  <r>
    <s v="AELA GENERACIÓN S.A."/>
    <x v="8"/>
    <s v="Itahue 220"/>
    <n v="220"/>
    <s v="2015/02"/>
    <x v="2"/>
    <d v="2017-01-01T00:00:00"/>
    <d v="2036-12-31T00:00:00"/>
    <x v="16"/>
    <n v="5512.38"/>
    <n v="52.567999999999991"/>
    <n v="2.6351188738623836E-3"/>
    <n v="1.847844475792364"/>
    <n v="111.6632649813545"/>
    <n v="60.428930272106797"/>
  </r>
  <r>
    <s v="AELA GENERACIÓN S.A."/>
    <x v="9"/>
    <s v="Charrua 220"/>
    <n v="220"/>
    <s v="2015/02"/>
    <x v="0"/>
    <d v="2017-01-01T00:00:00"/>
    <d v="2036-12-31T00:00:00"/>
    <x v="10"/>
    <n v="0"/>
    <n v="50.875999999999998"/>
    <n v="0"/>
    <n v="551.69042753999997"/>
    <n v="28067.802191525036"/>
    <n v="50.875999999999998"/>
  </r>
  <r>
    <s v="AELA GENERACIÓN S.A."/>
    <x v="9"/>
    <s v="Itahue 220"/>
    <n v="220"/>
    <s v="2015/02"/>
    <x v="0"/>
    <d v="2017-01-01T00:00:00"/>
    <d v="2036-12-31T00:00:00"/>
    <x v="16"/>
    <n v="0"/>
    <n v="53.531999999999996"/>
    <n v="0"/>
    <n v="30.69915336"/>
    <n v="1643.3870776675199"/>
    <n v="53.531999999999996"/>
  </r>
  <r>
    <s v="AELA GENERACIÓN S.A."/>
    <x v="9"/>
    <s v="Charrua 220"/>
    <n v="220"/>
    <s v="2015/02"/>
    <x v="1"/>
    <d v="2017-01-01T00:00:00"/>
    <d v="2036-12-31T00:00:00"/>
    <x v="10"/>
    <n v="0"/>
    <n v="50.875999999999998"/>
    <n v="0"/>
    <n v="752.55814835000001"/>
    <n v="38287.148355454599"/>
    <n v="50.875999999999998"/>
  </r>
  <r>
    <s v="AELA GENERACIÓN S.A."/>
    <x v="9"/>
    <s v="Itahue 220"/>
    <n v="220"/>
    <s v="2015/02"/>
    <x v="1"/>
    <d v="2017-01-01T00:00:00"/>
    <d v="2036-12-31T00:00:00"/>
    <x v="16"/>
    <n v="0"/>
    <n v="53.531999999999996"/>
    <n v="0"/>
    <n v="41.516136369999998"/>
    <n v="2222.4418121588396"/>
    <n v="53.531999999999996"/>
  </r>
  <r>
    <s v="AELA GENERACIÓN S.A."/>
    <x v="9"/>
    <s v="Charrua 220"/>
    <n v="220"/>
    <s v="2015/02"/>
    <x v="2"/>
    <d v="2017-01-01T00:00:00"/>
    <d v="2036-12-31T00:00:00"/>
    <x v="10"/>
    <n v="5282.6574000000001"/>
    <n v="50.875999999999998"/>
    <n v="3.2429999999999999"/>
    <n v="392.67640017999997"/>
    <n v="37109.46248375767"/>
    <n v="94.503928595522837"/>
  </r>
  <r>
    <s v="AELA GENERACIÓN S.A."/>
    <x v="9"/>
    <s v="Itahue 220"/>
    <n v="220"/>
    <s v="2015/02"/>
    <x v="2"/>
    <d v="2017-01-01T00:00:00"/>
    <d v="2036-12-31T00:00:00"/>
    <x v="16"/>
    <n v="5581.7182000000003"/>
    <n v="53.531999999999996"/>
    <n v="0.21"/>
    <n v="25.456880860000002"/>
    <n v="2534.91856819752"/>
    <n v="99.576950614582088"/>
  </r>
  <r>
    <s v="AELA GENERACIÓN S.A."/>
    <x v="10"/>
    <s v="Barro Blanco 220"/>
    <n v="220"/>
    <s v="2015/02"/>
    <x v="0"/>
    <d v="2017-01-01T00:00:00"/>
    <d v="2036-12-31T00:00:00"/>
    <x v="8"/>
    <n v="0"/>
    <n v="58.601999999999997"/>
    <n v="0"/>
    <n v="11.28983"/>
    <n v="661.60661765999998"/>
    <n v="58.601999999999997"/>
  </r>
  <r>
    <s v="AELA GENERACIÓN S.A."/>
    <x v="10"/>
    <s v="Valdivia 220"/>
    <n v="220"/>
    <s v="2015/02"/>
    <x v="0"/>
    <d v="2017-01-01T00:00:00"/>
    <d v="2036-12-31T00:00:00"/>
    <x v="7"/>
    <n v="0"/>
    <n v="58.023000000000003"/>
    <n v="0"/>
    <n v="8.6045049999999996"/>
    <n v="499.25919361500002"/>
    <n v="58.023000000000003"/>
  </r>
  <r>
    <s v="AELA GENERACIÓN S.A."/>
    <x v="10"/>
    <s v="Barro Blanco 220"/>
    <n v="220"/>
    <s v="2015/02"/>
    <x v="1"/>
    <d v="2017-01-01T00:00:00"/>
    <d v="2036-12-31T00:00:00"/>
    <x v="8"/>
    <n v="0"/>
    <n v="58.601999999999997"/>
    <n v="0"/>
    <n v="15.297253000000001"/>
    <n v="896.44962030600004"/>
    <n v="58.601999999999997"/>
  </r>
  <r>
    <s v="AELA GENERACIÓN S.A."/>
    <x v="10"/>
    <s v="Valdivia 220"/>
    <n v="220"/>
    <s v="2015/02"/>
    <x v="1"/>
    <d v="2017-01-01T00:00:00"/>
    <d v="2036-12-31T00:00:00"/>
    <x v="7"/>
    <n v="0"/>
    <n v="58.023000000000003"/>
    <n v="0"/>
    <n v="11.53613"/>
    <n v="669.36087099000008"/>
    <n v="58.02300000000001"/>
  </r>
  <r>
    <s v="AELA GENERACIÓN S.A."/>
    <x v="10"/>
    <s v="Barro Blanco 220"/>
    <n v="220"/>
    <s v="2015/02"/>
    <x v="2"/>
    <d v="2017-01-01T00:00:00"/>
    <d v="2036-12-31T00:00:00"/>
    <x v="8"/>
    <n v="5356.1081999999997"/>
    <n v="58.601999999999997"/>
    <n v="6.0999999999999999E-2"/>
    <n v="7.8101929999999999"/>
    <n v="784.415530386"/>
    <n v="100.4348458976622"/>
  </r>
  <r>
    <s v="AELA GENERACIÓN S.A."/>
    <x v="10"/>
    <s v="Valdivia 220"/>
    <n v="220"/>
    <s v="2015/02"/>
    <x v="2"/>
    <d v="2017-01-01T00:00:00"/>
    <d v="2036-12-31T00:00:00"/>
    <x v="7"/>
    <n v="5344.8216000000002"/>
    <n v="58.023000000000003"/>
    <n v="4.4999999999999998E-2"/>
    <n v="5.8068670000000004"/>
    <n v="577.44881594100002"/>
    <n v="99.442404301837797"/>
  </r>
  <r>
    <s v="AELA GENERACIÓN S.A."/>
    <x v="11"/>
    <s v="Valdivia 220"/>
    <n v="220"/>
    <s v="2015/02"/>
    <x v="0"/>
    <d v="2017-01-01T00:00:00"/>
    <d v="2036-12-31T00:00:00"/>
    <x v="7"/>
    <n v="0"/>
    <n v="58.023838144017873"/>
    <n v="0"/>
    <n v="21.808"/>
    <n v="1265.3838622447417"/>
    <n v="58.023838144017873"/>
  </r>
  <r>
    <s v="AELA GENERACIÓN S.A."/>
    <x v="11"/>
    <s v="Barro Blanco 220"/>
    <n v="220"/>
    <s v="2015/02"/>
    <x v="0"/>
    <d v="2017-01-01T00:00:00"/>
    <d v="2036-12-31T00:00:00"/>
    <x v="8"/>
    <n v="0"/>
    <n v="58.60193542441953"/>
    <n v="0"/>
    <n v="136.24100000000001"/>
    <n v="7983.9862841583417"/>
    <n v="58.60193542441953"/>
  </r>
  <r>
    <s v="AELA GENERACIÓN S.A."/>
    <x v="11"/>
    <s v="Puerto Montt 220"/>
    <n v="220"/>
    <s v="2015/02"/>
    <x v="0"/>
    <d v="2017-01-01T00:00:00"/>
    <d v="2036-12-31T00:00:00"/>
    <x v="9"/>
    <n v="0"/>
    <n v="59.490492355407262"/>
    <n v="0"/>
    <n v="19.245999999999999"/>
    <n v="1144.9540158721682"/>
    <n v="59.490492355407262"/>
  </r>
  <r>
    <s v="AELA GENERACIÓN S.A."/>
    <x v="11"/>
    <s v="Valdivia 220"/>
    <n v="220"/>
    <s v="2015/02"/>
    <x v="1"/>
    <d v="2017-01-01T00:00:00"/>
    <d v="2036-12-31T00:00:00"/>
    <x v="7"/>
    <n v="0"/>
    <n v="58.023838144017873"/>
    <n v="0"/>
    <n v="30.591000000000001"/>
    <n v="1775.0072326636507"/>
    <n v="58.023838144017873"/>
  </r>
  <r>
    <s v="AELA GENERACIÓN S.A."/>
    <x v="11"/>
    <s v="Barro Blanco 220"/>
    <n v="220"/>
    <s v="2015/02"/>
    <x v="1"/>
    <d v="2017-01-01T00:00:00"/>
    <d v="2036-12-31T00:00:00"/>
    <x v="8"/>
    <n v="0"/>
    <n v="58.60193542441953"/>
    <n v="0"/>
    <n v="177.41800000000001"/>
    <n v="10397.038179129664"/>
    <n v="58.60193542441953"/>
  </r>
  <r>
    <s v="AELA GENERACIÓN S.A."/>
    <x v="11"/>
    <s v="Puerto Montt 220"/>
    <n v="220"/>
    <s v="2015/02"/>
    <x v="1"/>
    <d v="2017-01-01T00:00:00"/>
    <d v="2036-12-31T00:00:00"/>
    <x v="9"/>
    <n v="0"/>
    <n v="59.490492355407248"/>
    <n v="0"/>
    <n v="25.577000000000002"/>
    <n v="1521.5883229742512"/>
    <n v="59.490492355407248"/>
  </r>
  <r>
    <s v="AELA GENERACIÓN S.A."/>
    <x v="11"/>
    <s v="Valdivia 220"/>
    <n v="220"/>
    <s v="2015/02"/>
    <x v="2"/>
    <d v="2017-01-01T00:00:00"/>
    <d v="2036-12-31T00:00:00"/>
    <x v="7"/>
    <n v="5344.8146009284173"/>
    <n v="58.023838144017873"/>
    <n v="0.11"/>
    <n v="13.222"/>
    <n v="1355.1207940423301"/>
    <n v="102.48984979899637"/>
  </r>
  <r>
    <s v="AELA GENERACIÓN S.A."/>
    <x v="11"/>
    <s v="Barro Blanco 220"/>
    <n v="220"/>
    <s v="2015/02"/>
    <x v="2"/>
    <d v="2017-01-01T00:00:00"/>
    <d v="2036-12-31T00:00:00"/>
    <x v="8"/>
    <n v="5356.0965314844661"/>
    <n v="58.601935424419523"/>
    <n v="0.57499999999999996"/>
    <n v="72.06"/>
    <n v="7302.6109722872388"/>
    <n v="101.34070180803828"/>
  </r>
  <r>
    <s v="AELA GENERACIÓN S.A."/>
    <x v="11"/>
    <s v="Puerto Montt 220"/>
    <n v="220"/>
    <s v="2015/02"/>
    <x v="2"/>
    <d v="2017-01-01T00:00:00"/>
    <d v="2036-12-31T00:00:00"/>
    <x v="9"/>
    <n v="5437.3264314880225"/>
    <n v="59.490492355407262"/>
    <n v="8.1000000000000003E-2"/>
    <n v="9.9979999999999993"/>
    <n v="1035.2093835198916"/>
    <n v="103.54164668132543"/>
  </r>
  <r>
    <s v="AELA GENERACIÓN S.A."/>
    <x v="12"/>
    <s v="Barro Blanco 220"/>
    <n v="220"/>
    <s v="2015/02"/>
    <x v="0"/>
    <d v="2017-01-01T00:00:00"/>
    <d v="2036-12-31T00:00:00"/>
    <x v="8"/>
    <n v="0"/>
    <n v="58.601999999999997"/>
    <n v="0"/>
    <n v="0.407169"/>
    <n v="23.860917737999998"/>
    <n v="58.601999999999997"/>
  </r>
  <r>
    <s v="AELA GENERACIÓN S.A."/>
    <x v="12"/>
    <s v="Puerto Montt 220"/>
    <n v="220"/>
    <s v="2015/02"/>
    <x v="0"/>
    <d v="2017-01-01T00:00:00"/>
    <d v="2036-12-31T00:00:00"/>
    <x v="9"/>
    <n v="0"/>
    <n v="59.49"/>
    <n v="0"/>
    <n v="3.3749189999999998"/>
    <n v="200.77393130999999"/>
    <n v="59.49"/>
  </r>
  <r>
    <s v="AELA GENERACIÓN S.A."/>
    <x v="12"/>
    <s v="Barro Blanco 220"/>
    <n v="220"/>
    <s v="2015/02"/>
    <x v="1"/>
    <d v="2017-01-01T00:00:00"/>
    <d v="2036-12-31T00:00:00"/>
    <x v="8"/>
    <n v="0"/>
    <n v="58.601999999999997"/>
    <n v="0"/>
    <n v="0.50730874905737866"/>
    <n v="29.729307312260502"/>
    <n v="58.601999999999997"/>
  </r>
  <r>
    <s v="AELA GENERACIÓN S.A."/>
    <x v="12"/>
    <s v="Puerto Montt 220"/>
    <n v="220"/>
    <s v="2015/02"/>
    <x v="1"/>
    <d v="2017-01-01T00:00:00"/>
    <d v="2036-12-31T00:00:00"/>
    <x v="9"/>
    <n v="0"/>
    <n v="59.49"/>
    <n v="0"/>
    <n v="4.1028479999999998"/>
    <n v="244.07842751999999"/>
    <n v="59.49"/>
  </r>
  <r>
    <s v="AELA GENERACIÓN S.A."/>
    <x v="12"/>
    <s v="Barro Blanco 220"/>
    <n v="220"/>
    <s v="2015/02"/>
    <x v="2"/>
    <d v="2017-01-01T00:00:00"/>
    <d v="2036-12-31T00:00:00"/>
    <x v="8"/>
    <n v="5356.1081999999997"/>
    <n v="58.601999999999997"/>
    <n v="2.3599999999999997E-3"/>
    <n v="0.30083599999999999"/>
    <n v="30.270006623999997"/>
    <n v="100.6196287146485"/>
  </r>
  <r>
    <s v="AELA GENERACIÓN S.A."/>
    <x v="12"/>
    <s v="Puerto Montt 220"/>
    <n v="220"/>
    <s v="2015/02"/>
    <x v="2"/>
    <d v="2017-01-01T00:00:00"/>
    <d v="2036-12-31T00:00:00"/>
    <x v="9"/>
    <n v="5437.3720000000003"/>
    <n v="59.49"/>
    <n v="2.0799999999999999E-2"/>
    <n v="2.6557230000000001"/>
    <n v="271.08629887000001"/>
    <n v="102.076270330151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S57" firstHeaderRow="1" firstDataRow="2" firstDataCol="1"/>
  <pivotFields count="15">
    <pivotField showAll="0"/>
    <pivotField axis="axisRow" showAll="0">
      <items count="14">
        <item x="4"/>
        <item x="2"/>
        <item x="6"/>
        <item x="10"/>
        <item x="9"/>
        <item x="12"/>
        <item x="0"/>
        <item x="1"/>
        <item x="5"/>
        <item x="11"/>
        <item x="7"/>
        <item x="8"/>
        <item x="3"/>
        <item t="default"/>
      </items>
    </pivotField>
    <pivotField showAll="0"/>
    <pivotField showAll="0"/>
    <pivotField showAll="0"/>
    <pivotField axis="axisRow" showAll="0">
      <items count="4">
        <item x="0"/>
        <item x="1"/>
        <item x="2"/>
        <item t="default"/>
      </items>
    </pivotField>
    <pivotField numFmtId="14" showAll="0"/>
    <pivotField numFmtId="14" showAll="0"/>
    <pivotField axis="axisCol" showAll="0">
      <items count="18">
        <item x="15"/>
        <item x="8"/>
        <item x="1"/>
        <item x="10"/>
        <item x="0"/>
        <item x="13"/>
        <item x="16"/>
        <item x="14"/>
        <item x="12"/>
        <item x="4"/>
        <item x="2"/>
        <item x="5"/>
        <item x="3"/>
        <item x="9"/>
        <item x="6"/>
        <item x="11"/>
        <item x="7"/>
        <item t="default"/>
      </items>
    </pivotField>
    <pivotField numFmtId="4" showAll="0"/>
    <pivotField numFmtId="4" showAll="0"/>
    <pivotField numFmtId="167" showAll="0"/>
    <pivotField dataField="1" numFmtId="167" showAll="0"/>
    <pivotField numFmtId="43" showAll="0"/>
    <pivotField numFmtId="43" showAll="0"/>
  </pivotFields>
  <rowFields count="2">
    <field x="1"/>
    <field x="5"/>
  </rowFields>
  <rowItems count="53">
    <i>
      <x/>
    </i>
    <i r="1">
      <x/>
    </i>
    <i r="1">
      <x v="1"/>
    </i>
    <i r="1">
      <x v="2"/>
    </i>
    <i>
      <x v="1"/>
    </i>
    <i r="1">
      <x/>
    </i>
    <i r="1">
      <x v="1"/>
    </i>
    <i r="1">
      <x v="2"/>
    </i>
    <i>
      <x v="2"/>
    </i>
    <i r="1">
      <x/>
    </i>
    <i r="1">
      <x v="1"/>
    </i>
    <i r="1">
      <x v="2"/>
    </i>
    <i>
      <x v="3"/>
    </i>
    <i r="1">
      <x/>
    </i>
    <i r="1">
      <x v="1"/>
    </i>
    <i r="1">
      <x v="2"/>
    </i>
    <i>
      <x v="4"/>
    </i>
    <i r="1">
      <x/>
    </i>
    <i r="1">
      <x v="1"/>
    </i>
    <i r="1">
      <x v="2"/>
    </i>
    <i>
      <x v="5"/>
    </i>
    <i r="1">
      <x/>
    </i>
    <i r="1">
      <x v="1"/>
    </i>
    <i r="1">
      <x v="2"/>
    </i>
    <i>
      <x v="6"/>
    </i>
    <i r="1">
      <x/>
    </i>
    <i r="1">
      <x v="1"/>
    </i>
    <i r="1">
      <x v="2"/>
    </i>
    <i>
      <x v="7"/>
    </i>
    <i r="1">
      <x/>
    </i>
    <i r="1">
      <x v="1"/>
    </i>
    <i r="1">
      <x v="2"/>
    </i>
    <i>
      <x v="8"/>
    </i>
    <i r="1">
      <x/>
    </i>
    <i r="1">
      <x v="1"/>
    </i>
    <i r="1">
      <x v="2"/>
    </i>
    <i>
      <x v="9"/>
    </i>
    <i r="1">
      <x/>
    </i>
    <i r="1">
      <x v="1"/>
    </i>
    <i r="1">
      <x v="2"/>
    </i>
    <i>
      <x v="10"/>
    </i>
    <i r="1">
      <x/>
    </i>
    <i r="1">
      <x v="1"/>
    </i>
    <i r="1">
      <x v="2"/>
    </i>
    <i>
      <x v="11"/>
    </i>
    <i r="1">
      <x/>
    </i>
    <i r="1">
      <x v="1"/>
    </i>
    <i r="1">
      <x v="2"/>
    </i>
    <i>
      <x v="12"/>
    </i>
    <i r="1">
      <x/>
    </i>
    <i r="1">
      <x v="1"/>
    </i>
    <i r="1">
      <x v="2"/>
    </i>
    <i t="grand">
      <x/>
    </i>
  </rowItems>
  <colFields count="1">
    <field x="8"/>
  </colFields>
  <colItems count="18">
    <i>
      <x/>
    </i>
    <i>
      <x v="1"/>
    </i>
    <i>
      <x v="2"/>
    </i>
    <i>
      <x v="3"/>
    </i>
    <i>
      <x v="4"/>
    </i>
    <i>
      <x v="5"/>
    </i>
    <i>
      <x v="6"/>
    </i>
    <i>
      <x v="7"/>
    </i>
    <i>
      <x v="8"/>
    </i>
    <i>
      <x v="9"/>
    </i>
    <i>
      <x v="10"/>
    </i>
    <i>
      <x v="11"/>
    </i>
    <i>
      <x v="12"/>
    </i>
    <i>
      <x v="13"/>
    </i>
    <i>
      <x v="14"/>
    </i>
    <i>
      <x v="15"/>
    </i>
    <i>
      <x v="16"/>
    </i>
    <i t="grand">
      <x/>
    </i>
  </colItems>
  <dataFields count="1">
    <dataField name="Sum of [MWh]" fld="12" baseField="0" baseItem="0" numFmtId="169"/>
  </dataFields>
  <formats count="12">
    <format dxfId="23">
      <pivotArea outline="0" collapsedLevelsAreSubtotals="1" fieldPosition="0"/>
    </format>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collapsedLevelsAreSubtotals="1" fieldPosition="0">
        <references count="2">
          <reference field="1" count="1">
            <x v="7"/>
          </reference>
          <reference field="8" count="1" selected="0">
            <x v="2"/>
          </reference>
        </references>
      </pivotArea>
    </format>
    <format dxfId="18">
      <pivotArea collapsedLevelsAreSubtotals="1" fieldPosition="0">
        <references count="2">
          <reference field="1" count="1">
            <x v="6"/>
          </reference>
          <reference field="8" count="1" selected="0">
            <x v="4"/>
          </reference>
        </references>
      </pivotArea>
    </format>
    <format dxfId="17">
      <pivotArea collapsedLevelsAreSubtotals="1" fieldPosition="0">
        <references count="2">
          <reference field="1" count="1">
            <x v="7"/>
          </reference>
          <reference field="8" count="1" selected="0">
            <x v="4"/>
          </reference>
        </references>
      </pivotArea>
    </format>
    <format dxfId="16">
      <pivotArea collapsedLevelsAreSubtotals="1" fieldPosition="0">
        <references count="2">
          <reference field="1" count="1">
            <x v="7"/>
          </reference>
          <reference field="8" count="1" selected="0">
            <x v="10"/>
          </reference>
        </references>
      </pivotArea>
    </format>
    <format dxfId="15">
      <pivotArea collapsedLevelsAreSubtotals="1" fieldPosition="0">
        <references count="2">
          <reference field="1" count="1">
            <x v="7"/>
          </reference>
          <reference field="8" count="1" selected="0">
            <x v="12"/>
          </reference>
        </references>
      </pivotArea>
    </format>
    <format dxfId="14">
      <pivotArea collapsedLevelsAreSubtotals="1" fieldPosition="0">
        <references count="2">
          <reference field="1" count="1">
            <x v="1"/>
          </reference>
          <reference field="8" count="4" selected="0">
            <x v="9"/>
            <x v="10"/>
            <x v="11"/>
            <x v="12"/>
          </reference>
        </references>
      </pivotArea>
    </format>
    <format dxfId="13">
      <pivotArea collapsedLevelsAreSubtotals="1" fieldPosition="0">
        <references count="2">
          <reference field="1" count="1">
            <x v="1"/>
          </reference>
          <reference field="8" count="1" selected="0">
            <x v="14"/>
          </reference>
        </references>
      </pivotArea>
    </format>
    <format dxfId="12">
      <pivotArea collapsedLevelsAreSubtotals="1" fieldPosition="0">
        <references count="2">
          <reference field="1" count="1">
            <x v="2"/>
          </reference>
          <reference field="8"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0" customFormat="1" ht="18.75" customHeight="1" x14ac:dyDescent="0.2">
      <c r="A8" s="29" t="s">
        <v>90</v>
      </c>
      <c r="B8" s="29">
        <v>12345</v>
      </c>
      <c r="C8" s="36">
        <v>41061</v>
      </c>
      <c r="D8" s="29" t="s">
        <v>24</v>
      </c>
      <c r="E8" s="28" t="s">
        <v>25</v>
      </c>
      <c r="F8" s="29" t="s">
        <v>105</v>
      </c>
      <c r="G8" s="31">
        <v>23</v>
      </c>
      <c r="H8" s="29" t="s">
        <v>106</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ht="18" customHeight="1" x14ac:dyDescent="0.25"/>
    <row r="11" spans="1:25" x14ac:dyDescent="0.25">
      <c r="B11" s="10" t="s">
        <v>56</v>
      </c>
    </row>
    <row r="12" spans="1:25" s="34" customFormat="1" x14ac:dyDescent="0.25">
      <c r="A12" s="8"/>
      <c r="B12" s="34" t="s">
        <v>108</v>
      </c>
    </row>
    <row r="13" spans="1:25" s="34" customFormat="1" x14ac:dyDescent="0.25">
      <c r="A13" s="8"/>
      <c r="B13" s="34" t="s">
        <v>109</v>
      </c>
    </row>
    <row r="14" spans="1:25" s="34" customFormat="1" x14ac:dyDescent="0.25">
      <c r="A14" s="8"/>
      <c r="B14" s="35" t="s">
        <v>99</v>
      </c>
    </row>
    <row r="15" spans="1:25" s="34" customFormat="1" x14ac:dyDescent="0.25">
      <c r="A15" s="8"/>
      <c r="B15" s="35" t="s">
        <v>55</v>
      </c>
    </row>
    <row r="16" spans="1:25" s="34" customFormat="1" x14ac:dyDescent="0.25">
      <c r="A16" s="8"/>
      <c r="B16" s="35" t="s">
        <v>26</v>
      </c>
    </row>
    <row r="17" spans="1:3" s="34" customFormat="1" x14ac:dyDescent="0.25">
      <c r="A17" s="8"/>
      <c r="B17" s="35" t="s">
        <v>32</v>
      </c>
    </row>
    <row r="18" spans="1:3" s="34" customFormat="1" x14ac:dyDescent="0.25">
      <c r="A18" s="8"/>
      <c r="B18" s="35" t="s">
        <v>107</v>
      </c>
    </row>
    <row r="19" spans="1:3" s="34" customFormat="1" x14ac:dyDescent="0.25">
      <c r="A19" s="8"/>
      <c r="B19" s="35" t="s">
        <v>40</v>
      </c>
    </row>
    <row r="20" spans="1:3" s="34" customFormat="1" x14ac:dyDescent="0.25">
      <c r="A20" s="8"/>
      <c r="B20" s="35" t="s">
        <v>100</v>
      </c>
    </row>
    <row r="21" spans="1:3" s="34" customFormat="1" x14ac:dyDescent="0.25">
      <c r="A21" s="8"/>
      <c r="B21" s="35" t="s">
        <v>41</v>
      </c>
    </row>
    <row r="22" spans="1:3" s="34" customFormat="1" x14ac:dyDescent="0.25">
      <c r="A22" s="8"/>
      <c r="B22" s="34" t="s">
        <v>42</v>
      </c>
    </row>
    <row r="23" spans="1:3" s="34" customFormat="1" x14ac:dyDescent="0.25">
      <c r="A23" s="8"/>
      <c r="B23" s="34" t="s">
        <v>43</v>
      </c>
    </row>
    <row r="24" spans="1:3" s="34" customFormat="1" x14ac:dyDescent="0.25">
      <c r="A24" s="8"/>
      <c r="B24" s="34" t="s">
        <v>97</v>
      </c>
    </row>
    <row r="25" spans="1:3" s="34" customFormat="1" x14ac:dyDescent="0.25">
      <c r="A25" s="8"/>
      <c r="B25" s="34" t="s">
        <v>104</v>
      </c>
    </row>
    <row r="26" spans="1:3" s="34" customFormat="1" x14ac:dyDescent="0.25">
      <c r="A26" s="8"/>
      <c r="B26" s="34" t="s">
        <v>112</v>
      </c>
    </row>
    <row r="27" spans="1:3" s="34" customFormat="1" x14ac:dyDescent="0.25">
      <c r="A27" s="8"/>
      <c r="B27" s="34" t="s">
        <v>111</v>
      </c>
    </row>
    <row r="28" spans="1:3" s="34" customFormat="1" x14ac:dyDescent="0.25">
      <c r="A28" s="8"/>
      <c r="B28" s="34" t="s">
        <v>113</v>
      </c>
    </row>
    <row r="29" spans="1:3" s="34" customFormat="1" x14ac:dyDescent="0.25">
      <c r="A29" s="8"/>
      <c r="B29" s="34" t="s">
        <v>129</v>
      </c>
    </row>
    <row r="30" spans="1:3" s="34" customFormat="1" x14ac:dyDescent="0.25">
      <c r="A30" s="8"/>
      <c r="B30" s="35" t="s">
        <v>117</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4"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3" customFormat="1" ht="18.75" customHeight="1" x14ac:dyDescent="0.2">
      <c r="A8" s="31" t="s">
        <v>98</v>
      </c>
      <c r="B8" s="29">
        <v>12345</v>
      </c>
      <c r="C8" s="36">
        <v>41061</v>
      </c>
      <c r="D8" s="29" t="s">
        <v>24</v>
      </c>
      <c r="E8" s="28" t="s">
        <v>25</v>
      </c>
      <c r="F8" s="29" t="s">
        <v>105</v>
      </c>
      <c r="G8" s="31">
        <v>23</v>
      </c>
      <c r="H8" s="29" t="s">
        <v>105</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s="33" customFormat="1" ht="18.75" customHeight="1" x14ac:dyDescent="0.2">
      <c r="A9" s="31" t="s">
        <v>98</v>
      </c>
      <c r="B9" s="31">
        <f>+B8+1</f>
        <v>12346</v>
      </c>
      <c r="C9" s="41">
        <v>41365</v>
      </c>
      <c r="D9" s="31" t="s">
        <v>24</v>
      </c>
      <c r="E9" s="32" t="s">
        <v>25</v>
      </c>
      <c r="F9" s="31" t="s">
        <v>105</v>
      </c>
      <c r="G9" s="31">
        <v>23</v>
      </c>
      <c r="H9" s="31" t="s">
        <v>105</v>
      </c>
      <c r="I9" s="31">
        <v>220</v>
      </c>
      <c r="J9" s="29" t="s">
        <v>125</v>
      </c>
      <c r="K9" s="29" t="s">
        <v>125</v>
      </c>
      <c r="L9" s="37" t="s">
        <v>126</v>
      </c>
      <c r="M9" s="37" t="s">
        <v>127</v>
      </c>
      <c r="N9" s="37" t="s">
        <v>126</v>
      </c>
      <c r="O9" s="37" t="s">
        <v>127</v>
      </c>
      <c r="P9" s="38" t="s">
        <v>126</v>
      </c>
      <c r="Q9" s="38" t="s">
        <v>127</v>
      </c>
      <c r="R9" s="39" t="s">
        <v>127</v>
      </c>
      <c r="S9" s="39" t="s">
        <v>127</v>
      </c>
      <c r="T9" s="39" t="s">
        <v>127</v>
      </c>
      <c r="U9" s="39" t="s">
        <v>127</v>
      </c>
      <c r="V9" s="39" t="s">
        <v>127</v>
      </c>
      <c r="W9" s="39" t="s">
        <v>127</v>
      </c>
      <c r="X9" s="40" t="e">
        <f>+M9+O9+Q9+R9+S9+T9+V9+W9</f>
        <v>#VALUE!</v>
      </c>
      <c r="Y9" s="40" t="s">
        <v>128</v>
      </c>
    </row>
    <row r="10" spans="1:25" s="33" customFormat="1" ht="18.75" customHeight="1" x14ac:dyDescent="0.2">
      <c r="A10" s="31" t="s">
        <v>98</v>
      </c>
      <c r="B10" s="31">
        <f>+B9+1</f>
        <v>12347</v>
      </c>
      <c r="C10" s="41">
        <v>41334</v>
      </c>
      <c r="D10" s="31" t="s">
        <v>24</v>
      </c>
      <c r="E10" s="32" t="s">
        <v>25</v>
      </c>
      <c r="F10" s="31" t="s">
        <v>105</v>
      </c>
      <c r="G10" s="31">
        <v>23</v>
      </c>
      <c r="H10" s="31" t="s">
        <v>105</v>
      </c>
      <c r="I10" s="31">
        <v>220</v>
      </c>
      <c r="J10" s="29" t="s">
        <v>125</v>
      </c>
      <c r="K10" s="29" t="s">
        <v>125</v>
      </c>
      <c r="L10" s="37" t="s">
        <v>126</v>
      </c>
      <c r="M10" s="37" t="s">
        <v>127</v>
      </c>
      <c r="N10" s="37" t="s">
        <v>126</v>
      </c>
      <c r="O10" s="37" t="s">
        <v>127</v>
      </c>
      <c r="P10" s="38" t="s">
        <v>126</v>
      </c>
      <c r="Q10" s="38" t="s">
        <v>127</v>
      </c>
      <c r="R10" s="39" t="s">
        <v>127</v>
      </c>
      <c r="S10" s="39" t="s">
        <v>127</v>
      </c>
      <c r="T10" s="39" t="s">
        <v>127</v>
      </c>
      <c r="U10" s="39" t="s">
        <v>127</v>
      </c>
      <c r="V10" s="39" t="s">
        <v>127</v>
      </c>
      <c r="W10" s="39" t="s">
        <v>127</v>
      </c>
      <c r="X10" s="40" t="e">
        <f>+M10+O10+Q10+R10+S10+T10+V10+W10</f>
        <v>#VALUE!</v>
      </c>
      <c r="Y10" s="40" t="s">
        <v>128</v>
      </c>
    </row>
    <row r="11" spans="1:25" s="33" customFormat="1" ht="18.75" customHeight="1" x14ac:dyDescent="0.2">
      <c r="A11" s="31" t="s">
        <v>92</v>
      </c>
      <c r="B11" s="31">
        <v>234</v>
      </c>
      <c r="C11" s="41">
        <v>41426</v>
      </c>
      <c r="D11" s="31" t="s">
        <v>24</v>
      </c>
      <c r="E11" s="32" t="s">
        <v>25</v>
      </c>
      <c r="F11" s="31" t="s">
        <v>105</v>
      </c>
      <c r="G11" s="31">
        <v>23</v>
      </c>
      <c r="H11" s="31" t="s">
        <v>105</v>
      </c>
      <c r="I11" s="31">
        <v>220</v>
      </c>
      <c r="J11" s="29" t="s">
        <v>125</v>
      </c>
      <c r="K11" s="29" t="s">
        <v>125</v>
      </c>
      <c r="L11" s="37" t="s">
        <v>126</v>
      </c>
      <c r="M11" s="37" t="s">
        <v>127</v>
      </c>
      <c r="N11" s="37" t="s">
        <v>126</v>
      </c>
      <c r="O11" s="37" t="s">
        <v>127</v>
      </c>
      <c r="P11" s="38" t="s">
        <v>126</v>
      </c>
      <c r="Q11" s="38" t="s">
        <v>127</v>
      </c>
      <c r="R11" s="39" t="s">
        <v>127</v>
      </c>
      <c r="S11" s="39" t="s">
        <v>127</v>
      </c>
      <c r="T11" s="39" t="s">
        <v>127</v>
      </c>
      <c r="U11" s="39" t="s">
        <v>127</v>
      </c>
      <c r="V11" s="39" t="s">
        <v>127</v>
      </c>
      <c r="W11" s="39" t="s">
        <v>127</v>
      </c>
      <c r="X11" s="40" t="e">
        <f>+M11+O11+Q11+R11+S11+T11+V11+W11</f>
        <v>#VALUE!</v>
      </c>
      <c r="Y11" s="40" t="s">
        <v>128</v>
      </c>
    </row>
    <row r="12" spans="1:25" s="33" customFormat="1" ht="18.75" customHeight="1" x14ac:dyDescent="0.2">
      <c r="A12" s="31" t="s">
        <v>93</v>
      </c>
      <c r="B12" s="31">
        <v>235</v>
      </c>
      <c r="C12" s="41">
        <v>41426</v>
      </c>
      <c r="D12" s="31" t="s">
        <v>24</v>
      </c>
      <c r="E12" s="32" t="s">
        <v>25</v>
      </c>
      <c r="F12" s="31" t="s">
        <v>105</v>
      </c>
      <c r="G12" s="31">
        <v>23</v>
      </c>
      <c r="H12" s="31" t="s">
        <v>105</v>
      </c>
      <c r="I12" s="31">
        <v>220</v>
      </c>
      <c r="J12" s="29" t="s">
        <v>125</v>
      </c>
      <c r="K12" s="29" t="s">
        <v>125</v>
      </c>
      <c r="L12" s="37" t="s">
        <v>126</v>
      </c>
      <c r="M12" s="37" t="s">
        <v>127</v>
      </c>
      <c r="N12" s="37" t="s">
        <v>126</v>
      </c>
      <c r="O12" s="37" t="s">
        <v>127</v>
      </c>
      <c r="P12" s="38" t="s">
        <v>126</v>
      </c>
      <c r="Q12" s="38" t="s">
        <v>127</v>
      </c>
      <c r="R12" s="39" t="s">
        <v>127</v>
      </c>
      <c r="S12" s="39" t="s">
        <v>127</v>
      </c>
      <c r="T12" s="39" t="s">
        <v>127</v>
      </c>
      <c r="U12" s="39" t="s">
        <v>127</v>
      </c>
      <c r="V12" s="39" t="s">
        <v>127</v>
      </c>
      <c r="W12" s="39" t="s">
        <v>127</v>
      </c>
      <c r="X12" s="40" t="e">
        <f>+M12+O12+Q12+R12+S12+T12+V12+W12</f>
        <v>#VALUE!</v>
      </c>
      <c r="Y12" s="40"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115"/>
  <sheetViews>
    <sheetView topLeftCell="A59" workbookViewId="0">
      <selection activeCell="G69" sqref="G69"/>
    </sheetView>
  </sheetViews>
  <sheetFormatPr defaultRowHeight="12.75" x14ac:dyDescent="0.2"/>
  <cols>
    <col min="1" max="1" width="13.85546875" customWidth="1"/>
    <col min="2" max="2" width="17" customWidth="1"/>
    <col min="3" max="3" width="16.5703125" bestFit="1" customWidth="1"/>
    <col min="4" max="4" width="13.28515625" bestFit="1" customWidth="1"/>
    <col min="5" max="5" width="11.85546875" bestFit="1" customWidth="1"/>
    <col min="6" max="6" width="21.42578125" bestFit="1" customWidth="1"/>
    <col min="7" max="7" width="12.140625" bestFit="1" customWidth="1"/>
    <col min="8" max="8" width="10.28515625" bestFit="1" customWidth="1"/>
    <col min="9" max="9" width="14.140625" customWidth="1"/>
    <col min="10" max="10" width="15.85546875" customWidth="1"/>
    <col min="11" max="11" width="12.7109375" customWidth="1"/>
    <col min="12" max="12" width="14.7109375" customWidth="1"/>
    <col min="13" max="13" width="11.85546875" customWidth="1"/>
    <col min="14" max="14" width="18.140625" customWidth="1"/>
    <col min="15" max="15" width="16.28515625" customWidth="1"/>
    <col min="16" max="16" width="11.7109375" customWidth="1"/>
    <col min="17" max="17" width="11.85546875" bestFit="1" customWidth="1"/>
    <col min="18" max="18" width="12" customWidth="1"/>
    <col min="19" max="19" width="11.7109375" customWidth="1"/>
  </cols>
  <sheetData>
    <row r="3" spans="1:19" x14ac:dyDescent="0.2">
      <c r="A3" s="72" t="s">
        <v>166</v>
      </c>
      <c r="B3" s="72" t="s">
        <v>165</v>
      </c>
    </row>
    <row r="4" spans="1:19" x14ac:dyDescent="0.2">
      <c r="A4" s="72" t="s">
        <v>163</v>
      </c>
      <c r="B4" t="s">
        <v>14</v>
      </c>
      <c r="C4" t="s">
        <v>20</v>
      </c>
      <c r="D4" t="s">
        <v>12</v>
      </c>
      <c r="E4" t="s">
        <v>15</v>
      </c>
      <c r="F4" t="s">
        <v>10</v>
      </c>
      <c r="G4" t="s">
        <v>136</v>
      </c>
      <c r="H4" t="s">
        <v>84</v>
      </c>
      <c r="I4" t="s">
        <v>131</v>
      </c>
      <c r="J4" t="s">
        <v>150</v>
      </c>
      <c r="K4" t="s">
        <v>132</v>
      </c>
      <c r="L4" t="s">
        <v>13</v>
      </c>
      <c r="M4" t="s">
        <v>133</v>
      </c>
      <c r="N4" t="s">
        <v>135</v>
      </c>
      <c r="O4" t="s">
        <v>21</v>
      </c>
      <c r="P4" t="s">
        <v>9</v>
      </c>
      <c r="Q4" t="s">
        <v>16</v>
      </c>
      <c r="R4" t="s">
        <v>17</v>
      </c>
      <c r="S4" t="s">
        <v>164</v>
      </c>
    </row>
    <row r="5" spans="1:19" x14ac:dyDescent="0.2">
      <c r="A5" s="73" t="s">
        <v>18</v>
      </c>
      <c r="B5" s="77"/>
      <c r="C5" s="77"/>
      <c r="D5" s="77"/>
      <c r="E5" s="77">
        <v>46.887687409681753</v>
      </c>
      <c r="F5" s="77"/>
      <c r="G5" s="77"/>
      <c r="H5" s="77"/>
      <c r="I5" s="77"/>
      <c r="J5" s="77"/>
      <c r="K5" s="77"/>
      <c r="L5" s="77"/>
      <c r="M5" s="77"/>
      <c r="N5" s="77"/>
      <c r="O5" s="77"/>
      <c r="P5" s="77"/>
      <c r="Q5" s="77">
        <v>379.48408230763516</v>
      </c>
      <c r="R5" s="77"/>
      <c r="S5" s="77">
        <v>426.37176971731691</v>
      </c>
    </row>
    <row r="6" spans="1:19" x14ac:dyDescent="0.2">
      <c r="A6" s="80" t="s">
        <v>153</v>
      </c>
      <c r="B6" s="77"/>
      <c r="C6" s="77"/>
      <c r="D6" s="77"/>
      <c r="E6" s="77">
        <v>17.901399576185248</v>
      </c>
      <c r="F6" s="77"/>
      <c r="G6" s="77"/>
      <c r="H6" s="77"/>
      <c r="I6" s="77"/>
      <c r="J6" s="77"/>
      <c r="K6" s="77"/>
      <c r="L6" s="77"/>
      <c r="M6" s="77"/>
      <c r="N6" s="77"/>
      <c r="O6" s="77"/>
      <c r="P6" s="77"/>
      <c r="Q6" s="77">
        <v>143.73353283933682</v>
      </c>
      <c r="R6" s="77"/>
      <c r="S6" s="77">
        <v>161.63493241552206</v>
      </c>
    </row>
    <row r="7" spans="1:19" x14ac:dyDescent="0.2">
      <c r="A7" s="80" t="s">
        <v>154</v>
      </c>
      <c r="B7" s="77"/>
      <c r="C7" s="77"/>
      <c r="D7" s="77"/>
      <c r="E7" s="77">
        <v>20.613634414467001</v>
      </c>
      <c r="F7" s="77"/>
      <c r="G7" s="77"/>
      <c r="H7" s="77"/>
      <c r="I7" s="77"/>
      <c r="J7" s="77"/>
      <c r="K7" s="77"/>
      <c r="L7" s="77"/>
      <c r="M7" s="77"/>
      <c r="N7" s="77"/>
      <c r="O7" s="77"/>
      <c r="P7" s="77"/>
      <c r="Q7" s="77">
        <v>167.8728190474996</v>
      </c>
      <c r="R7" s="77"/>
      <c r="S7" s="77">
        <v>188.48645346196662</v>
      </c>
    </row>
    <row r="8" spans="1:19" x14ac:dyDescent="0.2">
      <c r="A8" s="80" t="s">
        <v>155</v>
      </c>
      <c r="B8" s="77"/>
      <c r="C8" s="77"/>
      <c r="D8" s="77"/>
      <c r="E8" s="77">
        <v>8.3726534190295059</v>
      </c>
      <c r="F8" s="77"/>
      <c r="G8" s="77"/>
      <c r="H8" s="77"/>
      <c r="I8" s="77"/>
      <c r="J8" s="77"/>
      <c r="K8" s="77"/>
      <c r="L8" s="77"/>
      <c r="M8" s="77"/>
      <c r="N8" s="77"/>
      <c r="O8" s="77"/>
      <c r="P8" s="77"/>
      <c r="Q8" s="77">
        <v>67.877730420798713</v>
      </c>
      <c r="R8" s="77"/>
      <c r="S8" s="77">
        <v>76.250383839828217</v>
      </c>
    </row>
    <row r="9" spans="1:19" x14ac:dyDescent="0.2">
      <c r="A9" s="73" t="s">
        <v>144</v>
      </c>
      <c r="B9" s="77"/>
      <c r="C9" s="77"/>
      <c r="D9" s="77"/>
      <c r="E9" s="77"/>
      <c r="F9" s="77"/>
      <c r="G9" s="77"/>
      <c r="H9" s="77"/>
      <c r="I9" s="77"/>
      <c r="J9" s="77"/>
      <c r="K9" s="79">
        <v>8924.8719999999994</v>
      </c>
      <c r="L9" s="79">
        <v>947.96299999999997</v>
      </c>
      <c r="M9" s="79">
        <v>284.73</v>
      </c>
      <c r="N9" s="79">
        <v>21869.112999999998</v>
      </c>
      <c r="O9" s="77"/>
      <c r="P9" s="79">
        <v>9421.8449999999993</v>
      </c>
      <c r="Q9" s="77"/>
      <c r="R9" s="77"/>
      <c r="S9" s="77">
        <v>41448.523000000001</v>
      </c>
    </row>
    <row r="10" spans="1:19" x14ac:dyDescent="0.2">
      <c r="A10" s="80" t="s">
        <v>153</v>
      </c>
      <c r="B10" s="77"/>
      <c r="C10" s="77"/>
      <c r="D10" s="77"/>
      <c r="E10" s="77"/>
      <c r="F10" s="77"/>
      <c r="G10" s="77"/>
      <c r="H10" s="77"/>
      <c r="I10" s="77"/>
      <c r="J10" s="77"/>
      <c r="K10" s="77">
        <v>2948.328</v>
      </c>
      <c r="L10" s="77">
        <v>318.44200000000001</v>
      </c>
      <c r="M10" s="77">
        <v>87.153999999999996</v>
      </c>
      <c r="N10" s="77">
        <v>7199.4449999999997</v>
      </c>
      <c r="O10" s="77"/>
      <c r="P10" s="77">
        <v>2930.2130000000002</v>
      </c>
      <c r="Q10" s="77"/>
      <c r="R10" s="77"/>
      <c r="S10" s="77">
        <v>13483.581999999999</v>
      </c>
    </row>
    <row r="11" spans="1:19" x14ac:dyDescent="0.2">
      <c r="A11" s="80" t="s">
        <v>154</v>
      </c>
      <c r="B11" s="77"/>
      <c r="C11" s="77"/>
      <c r="D11" s="77"/>
      <c r="E11" s="77"/>
      <c r="F11" s="77"/>
      <c r="G11" s="77"/>
      <c r="H11" s="77"/>
      <c r="I11" s="77"/>
      <c r="J11" s="77"/>
      <c r="K11" s="77">
        <v>3966.8110000000001</v>
      </c>
      <c r="L11" s="77">
        <v>363.024</v>
      </c>
      <c r="M11" s="77">
        <v>122.971</v>
      </c>
      <c r="N11" s="77">
        <v>9244.0869999999995</v>
      </c>
      <c r="O11" s="77"/>
      <c r="P11" s="77">
        <v>4032.0079999999998</v>
      </c>
      <c r="Q11" s="77"/>
      <c r="R11" s="77"/>
      <c r="S11" s="77">
        <v>17728.900999999998</v>
      </c>
    </row>
    <row r="12" spans="1:19" x14ac:dyDescent="0.2">
      <c r="A12" s="80" t="s">
        <v>155</v>
      </c>
      <c r="B12" s="77"/>
      <c r="C12" s="77"/>
      <c r="D12" s="77"/>
      <c r="E12" s="77"/>
      <c r="F12" s="77"/>
      <c r="G12" s="77"/>
      <c r="H12" s="77"/>
      <c r="I12" s="77"/>
      <c r="J12" s="77"/>
      <c r="K12" s="77">
        <v>2009.7329999999999</v>
      </c>
      <c r="L12" s="77">
        <v>266.49700000000001</v>
      </c>
      <c r="M12" s="77">
        <v>74.605000000000004</v>
      </c>
      <c r="N12" s="77">
        <v>5425.5810000000001</v>
      </c>
      <c r="O12" s="77"/>
      <c r="P12" s="77">
        <v>2459.6239999999998</v>
      </c>
      <c r="Q12" s="77"/>
      <c r="R12" s="77"/>
      <c r="S12" s="77">
        <v>10236.040000000001</v>
      </c>
    </row>
    <row r="13" spans="1:19" x14ac:dyDescent="0.2">
      <c r="A13" s="73" t="s">
        <v>19</v>
      </c>
      <c r="B13" s="77"/>
      <c r="C13" s="77"/>
      <c r="D13" s="77"/>
      <c r="E13" s="79">
        <v>436.34056720999996</v>
      </c>
      <c r="F13" s="77"/>
      <c r="G13" s="77">
        <v>4.0537023200000002</v>
      </c>
      <c r="H13" s="77"/>
      <c r="I13" s="77"/>
      <c r="J13" s="77"/>
      <c r="K13" s="77"/>
      <c r="L13" s="77"/>
      <c r="M13" s="77"/>
      <c r="N13" s="77"/>
      <c r="O13" s="77"/>
      <c r="P13" s="77"/>
      <c r="Q13" s="77"/>
      <c r="R13" s="77"/>
      <c r="S13" s="77">
        <v>440.39426952999997</v>
      </c>
    </row>
    <row r="14" spans="1:19" x14ac:dyDescent="0.2">
      <c r="A14" s="80" t="s">
        <v>153</v>
      </c>
      <c r="B14" s="77"/>
      <c r="C14" s="77"/>
      <c r="D14" s="77"/>
      <c r="E14" s="77">
        <v>142.28273300999999</v>
      </c>
      <c r="F14" s="77"/>
      <c r="G14" s="77">
        <v>1.3312729999999999</v>
      </c>
      <c r="H14" s="77"/>
      <c r="I14" s="77"/>
      <c r="J14" s="77"/>
      <c r="K14" s="77"/>
      <c r="L14" s="77"/>
      <c r="M14" s="77"/>
      <c r="N14" s="77"/>
      <c r="O14" s="77"/>
      <c r="P14" s="77"/>
      <c r="Q14" s="77"/>
      <c r="R14" s="77"/>
      <c r="S14" s="77">
        <v>143.61400601</v>
      </c>
    </row>
    <row r="15" spans="1:19" x14ac:dyDescent="0.2">
      <c r="A15" s="80" t="s">
        <v>154</v>
      </c>
      <c r="B15" s="77"/>
      <c r="C15" s="77"/>
      <c r="D15" s="77"/>
      <c r="E15" s="77">
        <v>188.74028461999998</v>
      </c>
      <c r="F15" s="77"/>
      <c r="G15" s="77">
        <v>1.78321273</v>
      </c>
      <c r="H15" s="77"/>
      <c r="I15" s="77"/>
      <c r="J15" s="77"/>
      <c r="K15" s="77"/>
      <c r="L15" s="77"/>
      <c r="M15" s="77"/>
      <c r="N15" s="77"/>
      <c r="O15" s="77"/>
      <c r="P15" s="77"/>
      <c r="Q15" s="77"/>
      <c r="R15" s="77"/>
      <c r="S15" s="77">
        <v>190.52349734999999</v>
      </c>
    </row>
    <row r="16" spans="1:19" x14ac:dyDescent="0.2">
      <c r="A16" s="80" t="s">
        <v>155</v>
      </c>
      <c r="B16" s="77"/>
      <c r="C16" s="77"/>
      <c r="D16" s="77"/>
      <c r="E16" s="77">
        <v>105.31754958</v>
      </c>
      <c r="F16" s="77"/>
      <c r="G16" s="77">
        <v>0.93921659000000002</v>
      </c>
      <c r="H16" s="77"/>
      <c r="I16" s="77"/>
      <c r="J16" s="77"/>
      <c r="K16" s="77"/>
      <c r="L16" s="77"/>
      <c r="M16" s="77"/>
      <c r="N16" s="77"/>
      <c r="O16" s="77"/>
      <c r="P16" s="77"/>
      <c r="Q16" s="77"/>
      <c r="R16" s="77"/>
      <c r="S16" s="77">
        <v>106.25676617000001</v>
      </c>
    </row>
    <row r="17" spans="1:19" x14ac:dyDescent="0.2">
      <c r="A17" s="73" t="s">
        <v>145</v>
      </c>
      <c r="B17" s="77"/>
      <c r="C17" s="77">
        <v>34.397275999999998</v>
      </c>
      <c r="D17" s="77"/>
      <c r="E17" s="77"/>
      <c r="F17" s="77"/>
      <c r="G17" s="77"/>
      <c r="H17" s="77"/>
      <c r="I17" s="77"/>
      <c r="J17" s="77"/>
      <c r="K17" s="77"/>
      <c r="L17" s="77"/>
      <c r="M17" s="77"/>
      <c r="N17" s="77"/>
      <c r="O17" s="77"/>
      <c r="P17" s="77"/>
      <c r="Q17" s="77"/>
      <c r="R17" s="77">
        <v>25.947502</v>
      </c>
      <c r="S17" s="77">
        <v>60.344777999999998</v>
      </c>
    </row>
    <row r="18" spans="1:19" x14ac:dyDescent="0.2">
      <c r="A18" s="80" t="s">
        <v>153</v>
      </c>
      <c r="B18" s="77"/>
      <c r="C18" s="77">
        <v>11.28983</v>
      </c>
      <c r="D18" s="77"/>
      <c r="E18" s="77"/>
      <c r="F18" s="77"/>
      <c r="G18" s="77"/>
      <c r="H18" s="77"/>
      <c r="I18" s="77"/>
      <c r="J18" s="77"/>
      <c r="K18" s="77"/>
      <c r="L18" s="77"/>
      <c r="M18" s="77"/>
      <c r="N18" s="77"/>
      <c r="O18" s="77"/>
      <c r="P18" s="77"/>
      <c r="Q18" s="77"/>
      <c r="R18" s="77">
        <v>8.6045049999999996</v>
      </c>
      <c r="S18" s="77">
        <v>19.894334999999998</v>
      </c>
    </row>
    <row r="19" spans="1:19" x14ac:dyDescent="0.2">
      <c r="A19" s="80" t="s">
        <v>154</v>
      </c>
      <c r="B19" s="77"/>
      <c r="C19" s="77">
        <v>15.297253000000001</v>
      </c>
      <c r="D19" s="77"/>
      <c r="E19" s="77"/>
      <c r="F19" s="77"/>
      <c r="G19" s="77"/>
      <c r="H19" s="77"/>
      <c r="I19" s="77"/>
      <c r="J19" s="77"/>
      <c r="K19" s="77"/>
      <c r="L19" s="77"/>
      <c r="M19" s="77"/>
      <c r="N19" s="77"/>
      <c r="O19" s="77"/>
      <c r="P19" s="77"/>
      <c r="Q19" s="77"/>
      <c r="R19" s="77">
        <v>11.53613</v>
      </c>
      <c r="S19" s="77">
        <v>26.833383000000001</v>
      </c>
    </row>
    <row r="20" spans="1:19" x14ac:dyDescent="0.2">
      <c r="A20" s="80" t="s">
        <v>155</v>
      </c>
      <c r="B20" s="77"/>
      <c r="C20" s="77">
        <v>7.8101929999999999</v>
      </c>
      <c r="D20" s="77"/>
      <c r="E20" s="77"/>
      <c r="F20" s="77"/>
      <c r="G20" s="77"/>
      <c r="H20" s="77"/>
      <c r="I20" s="77"/>
      <c r="J20" s="77"/>
      <c r="K20" s="77"/>
      <c r="L20" s="77"/>
      <c r="M20" s="77"/>
      <c r="N20" s="77"/>
      <c r="O20" s="77"/>
      <c r="P20" s="77"/>
      <c r="Q20" s="77"/>
      <c r="R20" s="77">
        <v>5.8068670000000004</v>
      </c>
      <c r="S20" s="77">
        <v>13.61706</v>
      </c>
    </row>
    <row r="21" spans="1:19" x14ac:dyDescent="0.2">
      <c r="A21" s="73" t="s">
        <v>146</v>
      </c>
      <c r="B21" s="77"/>
      <c r="C21" s="77"/>
      <c r="D21" s="77"/>
      <c r="E21" s="77">
        <v>1696.92497607</v>
      </c>
      <c r="F21" s="77"/>
      <c r="G21" s="77"/>
      <c r="H21" s="77">
        <v>97.672170589999993</v>
      </c>
      <c r="I21" s="77"/>
      <c r="J21" s="77"/>
      <c r="K21" s="77"/>
      <c r="L21" s="77"/>
      <c r="M21" s="77"/>
      <c r="N21" s="77"/>
      <c r="O21" s="77"/>
      <c r="P21" s="77"/>
      <c r="Q21" s="77"/>
      <c r="R21" s="77"/>
      <c r="S21" s="77">
        <v>1794.5971466599999</v>
      </c>
    </row>
    <row r="22" spans="1:19" x14ac:dyDescent="0.2">
      <c r="A22" s="80" t="s">
        <v>153</v>
      </c>
      <c r="B22" s="77"/>
      <c r="C22" s="77"/>
      <c r="D22" s="77"/>
      <c r="E22" s="77">
        <v>551.69042753999997</v>
      </c>
      <c r="F22" s="77"/>
      <c r="G22" s="77"/>
      <c r="H22" s="77">
        <v>30.69915336</v>
      </c>
      <c r="I22" s="77"/>
      <c r="J22" s="77"/>
      <c r="K22" s="77"/>
      <c r="L22" s="77"/>
      <c r="M22" s="77"/>
      <c r="N22" s="77"/>
      <c r="O22" s="77"/>
      <c r="P22" s="77"/>
      <c r="Q22" s="77"/>
      <c r="R22" s="77"/>
      <c r="S22" s="77">
        <v>582.38958089999994</v>
      </c>
    </row>
    <row r="23" spans="1:19" x14ac:dyDescent="0.2">
      <c r="A23" s="80" t="s">
        <v>154</v>
      </c>
      <c r="B23" s="77"/>
      <c r="C23" s="77"/>
      <c r="D23" s="77"/>
      <c r="E23" s="77">
        <v>752.55814835000001</v>
      </c>
      <c r="F23" s="77"/>
      <c r="G23" s="77"/>
      <c r="H23" s="77">
        <v>41.516136369999998</v>
      </c>
      <c r="I23" s="77"/>
      <c r="J23" s="77"/>
      <c r="K23" s="77"/>
      <c r="L23" s="77"/>
      <c r="M23" s="77"/>
      <c r="N23" s="77"/>
      <c r="O23" s="77"/>
      <c r="P23" s="77"/>
      <c r="Q23" s="77"/>
      <c r="R23" s="77"/>
      <c r="S23" s="77">
        <v>794.07428472000004</v>
      </c>
    </row>
    <row r="24" spans="1:19" x14ac:dyDescent="0.2">
      <c r="A24" s="80" t="s">
        <v>155</v>
      </c>
      <c r="B24" s="77"/>
      <c r="C24" s="77"/>
      <c r="D24" s="77"/>
      <c r="E24" s="77">
        <v>392.67640017999997</v>
      </c>
      <c r="F24" s="77"/>
      <c r="G24" s="77"/>
      <c r="H24" s="77">
        <v>25.456880860000002</v>
      </c>
      <c r="I24" s="77"/>
      <c r="J24" s="77"/>
      <c r="K24" s="77"/>
      <c r="L24" s="77"/>
      <c r="M24" s="77"/>
      <c r="N24" s="77"/>
      <c r="O24" s="77"/>
      <c r="P24" s="77"/>
      <c r="Q24" s="77"/>
      <c r="R24" s="77"/>
      <c r="S24" s="77">
        <v>418.13328103999999</v>
      </c>
    </row>
    <row r="25" spans="1:19" x14ac:dyDescent="0.2">
      <c r="A25" s="73" t="s">
        <v>147</v>
      </c>
      <c r="B25" s="77"/>
      <c r="C25" s="77">
        <v>1.2153137490573787</v>
      </c>
      <c r="D25" s="77"/>
      <c r="E25" s="77"/>
      <c r="F25" s="77"/>
      <c r="G25" s="77"/>
      <c r="H25" s="77"/>
      <c r="I25" s="77"/>
      <c r="J25" s="77"/>
      <c r="K25" s="77"/>
      <c r="L25" s="77"/>
      <c r="M25" s="77"/>
      <c r="N25" s="77"/>
      <c r="O25" s="77">
        <v>10.13349</v>
      </c>
      <c r="P25" s="77"/>
      <c r="Q25" s="77"/>
      <c r="R25" s="77"/>
      <c r="S25" s="77">
        <v>11.34880374905738</v>
      </c>
    </row>
    <row r="26" spans="1:19" x14ac:dyDescent="0.2">
      <c r="A26" s="80" t="s">
        <v>153</v>
      </c>
      <c r="B26" s="77"/>
      <c r="C26" s="77">
        <v>0.407169</v>
      </c>
      <c r="D26" s="77"/>
      <c r="E26" s="77"/>
      <c r="F26" s="77"/>
      <c r="G26" s="77"/>
      <c r="H26" s="77"/>
      <c r="I26" s="77"/>
      <c r="J26" s="77"/>
      <c r="K26" s="77"/>
      <c r="L26" s="77"/>
      <c r="M26" s="77"/>
      <c r="N26" s="77"/>
      <c r="O26" s="77">
        <v>3.3749189999999998</v>
      </c>
      <c r="P26" s="77"/>
      <c r="Q26" s="77"/>
      <c r="R26" s="77"/>
      <c r="S26" s="77">
        <v>3.7820879999999999</v>
      </c>
    </row>
    <row r="27" spans="1:19" x14ac:dyDescent="0.2">
      <c r="A27" s="80" t="s">
        <v>154</v>
      </c>
      <c r="B27" s="77"/>
      <c r="C27" s="77">
        <v>0.50730874905737866</v>
      </c>
      <c r="D27" s="77"/>
      <c r="E27" s="77"/>
      <c r="F27" s="77"/>
      <c r="G27" s="77"/>
      <c r="H27" s="77"/>
      <c r="I27" s="77"/>
      <c r="J27" s="77"/>
      <c r="K27" s="77"/>
      <c r="L27" s="77"/>
      <c r="M27" s="77"/>
      <c r="N27" s="77"/>
      <c r="O27" s="77">
        <v>4.1028479999999998</v>
      </c>
      <c r="P27" s="77"/>
      <c r="Q27" s="77"/>
      <c r="R27" s="77"/>
      <c r="S27" s="77">
        <v>4.6101567490573787</v>
      </c>
    </row>
    <row r="28" spans="1:19" x14ac:dyDescent="0.2">
      <c r="A28" s="80" t="s">
        <v>155</v>
      </c>
      <c r="B28" s="77"/>
      <c r="C28" s="77">
        <v>0.30083599999999999</v>
      </c>
      <c r="D28" s="77"/>
      <c r="E28" s="77"/>
      <c r="F28" s="77"/>
      <c r="G28" s="77"/>
      <c r="H28" s="77"/>
      <c r="I28" s="77"/>
      <c r="J28" s="77"/>
      <c r="K28" s="77"/>
      <c r="L28" s="77"/>
      <c r="M28" s="77"/>
      <c r="N28" s="77"/>
      <c r="O28" s="77">
        <v>2.6557230000000001</v>
      </c>
      <c r="P28" s="77"/>
      <c r="Q28" s="77"/>
      <c r="R28" s="77"/>
      <c r="S28" s="77">
        <v>2.9565589999999999</v>
      </c>
    </row>
    <row r="29" spans="1:19" x14ac:dyDescent="0.2">
      <c r="A29" s="73" t="s">
        <v>148</v>
      </c>
      <c r="B29" s="77"/>
      <c r="C29" s="77"/>
      <c r="D29" s="77"/>
      <c r="E29" s="77"/>
      <c r="F29" s="79">
        <v>123.68900000000001</v>
      </c>
      <c r="G29" s="77"/>
      <c r="H29" s="77"/>
      <c r="I29" s="77"/>
      <c r="J29" s="77"/>
      <c r="K29" s="77"/>
      <c r="L29" s="77"/>
      <c r="M29" s="77"/>
      <c r="N29" s="77"/>
      <c r="O29" s="77"/>
      <c r="P29" s="77"/>
      <c r="Q29" s="77"/>
      <c r="R29" s="77"/>
      <c r="S29" s="77">
        <v>123.68900000000001</v>
      </c>
    </row>
    <row r="30" spans="1:19" x14ac:dyDescent="0.2">
      <c r="A30" s="80" t="s">
        <v>153</v>
      </c>
      <c r="B30" s="77"/>
      <c r="C30" s="77"/>
      <c r="D30" s="77"/>
      <c r="E30" s="77"/>
      <c r="F30" s="77">
        <v>44.801000000000002</v>
      </c>
      <c r="G30" s="77"/>
      <c r="H30" s="77"/>
      <c r="I30" s="77"/>
      <c r="J30" s="77"/>
      <c r="K30" s="77"/>
      <c r="L30" s="77"/>
      <c r="M30" s="77"/>
      <c r="N30" s="77"/>
      <c r="O30" s="77"/>
      <c r="P30" s="77"/>
      <c r="Q30" s="77"/>
      <c r="R30" s="77"/>
      <c r="S30" s="77">
        <v>44.801000000000002</v>
      </c>
    </row>
    <row r="31" spans="1:19" x14ac:dyDescent="0.2">
      <c r="A31" s="80" t="s">
        <v>154</v>
      </c>
      <c r="B31" s="77"/>
      <c r="C31" s="77"/>
      <c r="D31" s="77"/>
      <c r="E31" s="77"/>
      <c r="F31" s="77">
        <v>48.094000000000001</v>
      </c>
      <c r="G31" s="77"/>
      <c r="H31" s="77"/>
      <c r="I31" s="77"/>
      <c r="J31" s="77"/>
      <c r="K31" s="77"/>
      <c r="L31" s="77"/>
      <c r="M31" s="77"/>
      <c r="N31" s="77"/>
      <c r="O31" s="77"/>
      <c r="P31" s="77"/>
      <c r="Q31" s="77"/>
      <c r="R31" s="77"/>
      <c r="S31" s="77">
        <v>48.094000000000001</v>
      </c>
    </row>
    <row r="32" spans="1:19" x14ac:dyDescent="0.2">
      <c r="A32" s="80" t="s">
        <v>155</v>
      </c>
      <c r="B32" s="77"/>
      <c r="C32" s="77"/>
      <c r="D32" s="77"/>
      <c r="E32" s="77"/>
      <c r="F32" s="77">
        <v>30.794</v>
      </c>
      <c r="G32" s="77"/>
      <c r="H32" s="77"/>
      <c r="I32" s="77"/>
      <c r="J32" s="77"/>
      <c r="K32" s="77"/>
      <c r="L32" s="77"/>
      <c r="M32" s="77"/>
      <c r="N32" s="77"/>
      <c r="O32" s="77"/>
      <c r="P32" s="77"/>
      <c r="Q32" s="77"/>
      <c r="R32" s="77"/>
      <c r="S32" s="77">
        <v>30.794</v>
      </c>
    </row>
    <row r="33" spans="1:19" x14ac:dyDescent="0.2">
      <c r="A33" s="73" t="s">
        <v>11</v>
      </c>
      <c r="B33" s="77"/>
      <c r="C33" s="77"/>
      <c r="D33" s="79">
        <v>352.66699999999997</v>
      </c>
      <c r="E33" s="77"/>
      <c r="F33" s="79">
        <v>34.222999999999999</v>
      </c>
      <c r="G33" s="77"/>
      <c r="H33" s="77"/>
      <c r="I33" s="77"/>
      <c r="J33" s="77"/>
      <c r="K33" s="77"/>
      <c r="L33" s="79">
        <v>86.466999999999999</v>
      </c>
      <c r="M33" s="77"/>
      <c r="N33" s="79">
        <v>0.61899999999999999</v>
      </c>
      <c r="O33" s="77"/>
      <c r="P33" s="77"/>
      <c r="Q33" s="77"/>
      <c r="R33" s="77"/>
      <c r="S33" s="77">
        <v>473.976</v>
      </c>
    </row>
    <row r="34" spans="1:19" x14ac:dyDescent="0.2">
      <c r="A34" s="80" t="s">
        <v>153</v>
      </c>
      <c r="B34" s="77"/>
      <c r="C34" s="77"/>
      <c r="D34" s="77">
        <v>125.696</v>
      </c>
      <c r="E34" s="77"/>
      <c r="F34" s="77">
        <v>12.462</v>
      </c>
      <c r="G34" s="77"/>
      <c r="H34" s="77"/>
      <c r="I34" s="77"/>
      <c r="J34" s="77"/>
      <c r="K34" s="77"/>
      <c r="L34" s="77">
        <v>29.626000000000001</v>
      </c>
      <c r="M34" s="77"/>
      <c r="N34" s="77">
        <v>0.27700000000000002</v>
      </c>
      <c r="O34" s="77"/>
      <c r="P34" s="77"/>
      <c r="Q34" s="77"/>
      <c r="R34" s="77"/>
      <c r="S34" s="77">
        <v>168.06099999999998</v>
      </c>
    </row>
    <row r="35" spans="1:19" x14ac:dyDescent="0.2">
      <c r="A35" s="80" t="s">
        <v>154</v>
      </c>
      <c r="B35" s="77"/>
      <c r="C35" s="77"/>
      <c r="D35" s="77">
        <v>156.42500000000001</v>
      </c>
      <c r="E35" s="77"/>
      <c r="F35" s="77">
        <v>13.628</v>
      </c>
      <c r="G35" s="77"/>
      <c r="H35" s="77"/>
      <c r="I35" s="77"/>
      <c r="J35" s="77"/>
      <c r="K35" s="77"/>
      <c r="L35" s="77">
        <v>35.832999999999998</v>
      </c>
      <c r="M35" s="77"/>
      <c r="N35" s="77">
        <v>0.17799999999999999</v>
      </c>
      <c r="O35" s="77"/>
      <c r="P35" s="77"/>
      <c r="Q35" s="77"/>
      <c r="R35" s="77"/>
      <c r="S35" s="77">
        <v>206.06399999999999</v>
      </c>
    </row>
    <row r="36" spans="1:19" x14ac:dyDescent="0.2">
      <c r="A36" s="80" t="s">
        <v>155</v>
      </c>
      <c r="B36" s="77"/>
      <c r="C36" s="77"/>
      <c r="D36" s="77">
        <v>70.546000000000006</v>
      </c>
      <c r="E36" s="77"/>
      <c r="F36" s="77">
        <v>8.1329999999999991</v>
      </c>
      <c r="G36" s="77"/>
      <c r="H36" s="77"/>
      <c r="I36" s="77"/>
      <c r="J36" s="77"/>
      <c r="K36" s="77"/>
      <c r="L36" s="77">
        <v>21.007999999999999</v>
      </c>
      <c r="M36" s="77"/>
      <c r="N36" s="77">
        <v>0.16400000000000001</v>
      </c>
      <c r="O36" s="77"/>
      <c r="P36" s="77"/>
      <c r="Q36" s="77"/>
      <c r="R36" s="77"/>
      <c r="S36" s="77">
        <v>99.850999999999999</v>
      </c>
    </row>
    <row r="37" spans="1:19" x14ac:dyDescent="0.2">
      <c r="A37" s="73" t="s">
        <v>22</v>
      </c>
      <c r="B37" s="77"/>
      <c r="C37" s="77"/>
      <c r="D37" s="77"/>
      <c r="E37" s="77">
        <v>1200.1481248148502</v>
      </c>
      <c r="F37" s="77"/>
      <c r="G37" s="77">
        <v>18.737464981486546</v>
      </c>
      <c r="H37" s="77"/>
      <c r="I37" s="77">
        <v>539.81280875563937</v>
      </c>
      <c r="J37" s="77"/>
      <c r="K37" s="77"/>
      <c r="L37" s="77"/>
      <c r="M37" s="77"/>
      <c r="N37" s="77"/>
      <c r="O37" s="77"/>
      <c r="P37" s="77"/>
      <c r="Q37" s="77">
        <v>907.03391427143106</v>
      </c>
      <c r="R37" s="77"/>
      <c r="S37" s="77">
        <v>2665.7323128234075</v>
      </c>
    </row>
    <row r="38" spans="1:19" x14ac:dyDescent="0.2">
      <c r="A38" s="80" t="s">
        <v>153</v>
      </c>
      <c r="B38" s="77"/>
      <c r="C38" s="77"/>
      <c r="D38" s="77"/>
      <c r="E38" s="77">
        <v>377.90126945450362</v>
      </c>
      <c r="F38" s="77"/>
      <c r="G38" s="77">
        <v>6.1717231959157077</v>
      </c>
      <c r="H38" s="77"/>
      <c r="I38" s="77">
        <v>167.6231941125597</v>
      </c>
      <c r="J38" s="77"/>
      <c r="K38" s="77"/>
      <c r="L38" s="77"/>
      <c r="M38" s="77"/>
      <c r="N38" s="77"/>
      <c r="O38" s="77"/>
      <c r="P38" s="77"/>
      <c r="Q38" s="77">
        <v>288.97563912455985</v>
      </c>
      <c r="R38" s="77"/>
      <c r="S38" s="77">
        <v>840.67182588753894</v>
      </c>
    </row>
    <row r="39" spans="1:19" x14ac:dyDescent="0.2">
      <c r="A39" s="80" t="s">
        <v>154</v>
      </c>
      <c r="B39" s="77"/>
      <c r="C39" s="77"/>
      <c r="D39" s="77"/>
      <c r="E39" s="77">
        <v>530.35444076233262</v>
      </c>
      <c r="F39" s="77"/>
      <c r="G39" s="77">
        <v>8.1859937305332213</v>
      </c>
      <c r="H39" s="77"/>
      <c r="I39" s="77">
        <v>228.93223132586692</v>
      </c>
      <c r="J39" s="77"/>
      <c r="K39" s="77"/>
      <c r="L39" s="77"/>
      <c r="M39" s="77"/>
      <c r="N39" s="77"/>
      <c r="O39" s="77"/>
      <c r="P39" s="77"/>
      <c r="Q39" s="77">
        <v>407.58957969067058</v>
      </c>
      <c r="R39" s="77"/>
      <c r="S39" s="77">
        <v>1175.0622455094035</v>
      </c>
    </row>
    <row r="40" spans="1:19" x14ac:dyDescent="0.2">
      <c r="A40" s="80" t="s">
        <v>155</v>
      </c>
      <c r="B40" s="77"/>
      <c r="C40" s="77"/>
      <c r="D40" s="77"/>
      <c r="E40" s="77">
        <v>291.89241459801417</v>
      </c>
      <c r="F40" s="77"/>
      <c r="G40" s="77">
        <v>4.3797480550376173</v>
      </c>
      <c r="H40" s="77"/>
      <c r="I40" s="77">
        <v>143.25738331721274</v>
      </c>
      <c r="J40" s="77"/>
      <c r="K40" s="77"/>
      <c r="L40" s="77"/>
      <c r="M40" s="77"/>
      <c r="N40" s="77"/>
      <c r="O40" s="77"/>
      <c r="P40" s="77"/>
      <c r="Q40" s="77">
        <v>210.46869545620069</v>
      </c>
      <c r="R40" s="77"/>
      <c r="S40" s="77">
        <v>649.99824142646526</v>
      </c>
    </row>
    <row r="41" spans="1:19" x14ac:dyDescent="0.2">
      <c r="A41" s="73" t="s">
        <v>149</v>
      </c>
      <c r="B41" s="77"/>
      <c r="C41" s="77">
        <v>385.71899999999999</v>
      </c>
      <c r="D41" s="77"/>
      <c r="E41" s="77"/>
      <c r="F41" s="77"/>
      <c r="G41" s="77"/>
      <c r="H41" s="77"/>
      <c r="I41" s="77"/>
      <c r="J41" s="77"/>
      <c r="K41" s="77"/>
      <c r="L41" s="77"/>
      <c r="M41" s="77"/>
      <c r="N41" s="77"/>
      <c r="O41" s="77">
        <v>54.820999999999998</v>
      </c>
      <c r="P41" s="77"/>
      <c r="Q41" s="77"/>
      <c r="R41" s="77">
        <v>65.620999999999995</v>
      </c>
      <c r="S41" s="77">
        <v>506.16100000000006</v>
      </c>
    </row>
    <row r="42" spans="1:19" x14ac:dyDescent="0.2">
      <c r="A42" s="80" t="s">
        <v>153</v>
      </c>
      <c r="B42" s="77"/>
      <c r="C42" s="77">
        <v>136.24100000000001</v>
      </c>
      <c r="D42" s="77"/>
      <c r="E42" s="77"/>
      <c r="F42" s="77"/>
      <c r="G42" s="77"/>
      <c r="H42" s="77"/>
      <c r="I42" s="77"/>
      <c r="J42" s="77"/>
      <c r="K42" s="77"/>
      <c r="L42" s="77"/>
      <c r="M42" s="77"/>
      <c r="N42" s="77"/>
      <c r="O42" s="77">
        <v>19.245999999999999</v>
      </c>
      <c r="P42" s="77"/>
      <c r="Q42" s="77"/>
      <c r="R42" s="77">
        <v>21.808</v>
      </c>
      <c r="S42" s="77">
        <v>177.29500000000002</v>
      </c>
    </row>
    <row r="43" spans="1:19" x14ac:dyDescent="0.2">
      <c r="A43" s="80" t="s">
        <v>154</v>
      </c>
      <c r="B43" s="77"/>
      <c r="C43" s="77">
        <v>177.41800000000001</v>
      </c>
      <c r="D43" s="77"/>
      <c r="E43" s="77"/>
      <c r="F43" s="77"/>
      <c r="G43" s="77"/>
      <c r="H43" s="77"/>
      <c r="I43" s="77"/>
      <c r="J43" s="77"/>
      <c r="K43" s="77"/>
      <c r="L43" s="77"/>
      <c r="M43" s="77"/>
      <c r="N43" s="77"/>
      <c r="O43" s="77">
        <v>25.577000000000002</v>
      </c>
      <c r="P43" s="77"/>
      <c r="Q43" s="77"/>
      <c r="R43" s="77">
        <v>30.591000000000001</v>
      </c>
      <c r="S43" s="77">
        <v>233.58600000000001</v>
      </c>
    </row>
    <row r="44" spans="1:19" x14ac:dyDescent="0.2">
      <c r="A44" s="80" t="s">
        <v>155</v>
      </c>
      <c r="B44" s="77"/>
      <c r="C44" s="77">
        <v>72.06</v>
      </c>
      <c r="D44" s="77"/>
      <c r="E44" s="77"/>
      <c r="F44" s="77"/>
      <c r="G44" s="77"/>
      <c r="H44" s="77"/>
      <c r="I44" s="77"/>
      <c r="J44" s="77"/>
      <c r="K44" s="77"/>
      <c r="L44" s="77"/>
      <c r="M44" s="77"/>
      <c r="N44" s="77"/>
      <c r="O44" s="77">
        <v>9.9979999999999993</v>
      </c>
      <c r="P44" s="77"/>
      <c r="Q44" s="77"/>
      <c r="R44" s="77">
        <v>13.222</v>
      </c>
      <c r="S44" s="77">
        <v>95.28</v>
      </c>
    </row>
    <row r="45" spans="1:19" x14ac:dyDescent="0.2">
      <c r="A45" s="73" t="s">
        <v>151</v>
      </c>
      <c r="B45" s="77">
        <v>174.3709680213554</v>
      </c>
      <c r="C45" s="77"/>
      <c r="D45" s="77"/>
      <c r="E45" s="77">
        <v>134.14886482035774</v>
      </c>
      <c r="F45" s="77"/>
      <c r="G45" s="77"/>
      <c r="H45" s="77">
        <v>65.392217127248315</v>
      </c>
      <c r="I45" s="77"/>
      <c r="J45" s="77"/>
      <c r="K45" s="77"/>
      <c r="L45" s="77"/>
      <c r="M45" s="77"/>
      <c r="N45" s="77"/>
      <c r="O45" s="77"/>
      <c r="P45" s="77"/>
      <c r="Q45" s="77"/>
      <c r="R45" s="77"/>
      <c r="S45" s="77">
        <v>373.91204996896141</v>
      </c>
    </row>
    <row r="46" spans="1:19" x14ac:dyDescent="0.2">
      <c r="A46" s="80" t="s">
        <v>153</v>
      </c>
      <c r="B46" s="77">
        <v>57.45917811201047</v>
      </c>
      <c r="C46" s="77"/>
      <c r="D46" s="77"/>
      <c r="E46" s="77">
        <v>42.598436567048175</v>
      </c>
      <c r="F46" s="77"/>
      <c r="G46" s="77"/>
      <c r="H46" s="77">
        <v>22.3419640353438</v>
      </c>
      <c r="I46" s="77"/>
      <c r="J46" s="77"/>
      <c r="K46" s="77"/>
      <c r="L46" s="77"/>
      <c r="M46" s="77"/>
      <c r="N46" s="77"/>
      <c r="O46" s="77"/>
      <c r="P46" s="77"/>
      <c r="Q46" s="77"/>
      <c r="R46" s="77"/>
      <c r="S46" s="77">
        <v>122.39957871440245</v>
      </c>
    </row>
    <row r="47" spans="1:19" x14ac:dyDescent="0.2">
      <c r="A47" s="80" t="s">
        <v>154</v>
      </c>
      <c r="B47" s="77">
        <v>80.723515199853409</v>
      </c>
      <c r="C47" s="77"/>
      <c r="D47" s="77"/>
      <c r="E47" s="77">
        <v>61.252119820773551</v>
      </c>
      <c r="F47" s="77"/>
      <c r="G47" s="77"/>
      <c r="H47" s="77">
        <v>30.687085123248895</v>
      </c>
      <c r="I47" s="77"/>
      <c r="J47" s="77"/>
      <c r="K47" s="77"/>
      <c r="L47" s="77"/>
      <c r="M47" s="77"/>
      <c r="N47" s="77"/>
      <c r="O47" s="77"/>
      <c r="P47" s="77"/>
      <c r="Q47" s="77"/>
      <c r="R47" s="77"/>
      <c r="S47" s="77">
        <v>172.66272014387584</v>
      </c>
    </row>
    <row r="48" spans="1:19" x14ac:dyDescent="0.2">
      <c r="A48" s="80" t="s">
        <v>155</v>
      </c>
      <c r="B48" s="77">
        <v>36.188274709491516</v>
      </c>
      <c r="C48" s="77"/>
      <c r="D48" s="77"/>
      <c r="E48" s="77">
        <v>30.298308432536007</v>
      </c>
      <c r="F48" s="77"/>
      <c r="G48" s="77"/>
      <c r="H48" s="77">
        <v>12.363167968655622</v>
      </c>
      <c r="I48" s="77"/>
      <c r="J48" s="77"/>
      <c r="K48" s="77"/>
      <c r="L48" s="77"/>
      <c r="M48" s="77"/>
      <c r="N48" s="77"/>
      <c r="O48" s="77"/>
      <c r="P48" s="77"/>
      <c r="Q48" s="77"/>
      <c r="R48" s="77"/>
      <c r="S48" s="77">
        <v>78.849751110683144</v>
      </c>
    </row>
    <row r="49" spans="1:19" x14ac:dyDescent="0.2">
      <c r="A49" s="73" t="s">
        <v>152</v>
      </c>
      <c r="B49" s="77">
        <v>11.505232483443992</v>
      </c>
      <c r="C49" s="77"/>
      <c r="D49" s="77"/>
      <c r="E49" s="77">
        <v>26.943730809827002</v>
      </c>
      <c r="F49" s="77"/>
      <c r="G49" s="77"/>
      <c r="H49" s="77">
        <v>8.5382505440554297</v>
      </c>
      <c r="I49" s="77"/>
      <c r="J49" s="77"/>
      <c r="K49" s="77"/>
      <c r="L49" s="77"/>
      <c r="M49" s="77"/>
      <c r="N49" s="77"/>
      <c r="O49" s="77"/>
      <c r="P49" s="77"/>
      <c r="Q49" s="77"/>
      <c r="R49" s="77"/>
      <c r="S49" s="77">
        <v>46.987213837326422</v>
      </c>
    </row>
    <row r="50" spans="1:19" x14ac:dyDescent="0.2">
      <c r="A50" s="80" t="s">
        <v>153</v>
      </c>
      <c r="B50" s="77">
        <v>3.5813843179477773</v>
      </c>
      <c r="C50" s="77"/>
      <c r="D50" s="77"/>
      <c r="E50" s="77">
        <v>8.280289401423774</v>
      </c>
      <c r="F50" s="77"/>
      <c r="G50" s="77"/>
      <c r="H50" s="77">
        <v>2.3755755545757644</v>
      </c>
      <c r="I50" s="77"/>
      <c r="J50" s="77"/>
      <c r="K50" s="77"/>
      <c r="L50" s="77"/>
      <c r="M50" s="77"/>
      <c r="N50" s="77"/>
      <c r="O50" s="77"/>
      <c r="P50" s="77"/>
      <c r="Q50" s="77"/>
      <c r="R50" s="77"/>
      <c r="S50" s="77">
        <v>14.237249273947317</v>
      </c>
    </row>
    <row r="51" spans="1:19" x14ac:dyDescent="0.2">
      <c r="A51" s="80" t="s">
        <v>154</v>
      </c>
      <c r="B51" s="77">
        <v>5.7023109637450409</v>
      </c>
      <c r="C51" s="77"/>
      <c r="D51" s="77"/>
      <c r="E51" s="77">
        <v>13.369355763196939</v>
      </c>
      <c r="F51" s="77"/>
      <c r="G51" s="77"/>
      <c r="H51" s="77">
        <v>4.3148305136873022</v>
      </c>
      <c r="I51" s="77"/>
      <c r="J51" s="77"/>
      <c r="K51" s="77"/>
      <c r="L51" s="77"/>
      <c r="M51" s="77"/>
      <c r="N51" s="77"/>
      <c r="O51" s="77"/>
      <c r="P51" s="77"/>
      <c r="Q51" s="77"/>
      <c r="R51" s="77"/>
      <c r="S51" s="77">
        <v>23.386497240629282</v>
      </c>
    </row>
    <row r="52" spans="1:19" x14ac:dyDescent="0.2">
      <c r="A52" s="80" t="s">
        <v>155</v>
      </c>
      <c r="B52" s="77">
        <v>2.2215372017511736</v>
      </c>
      <c r="C52" s="77"/>
      <c r="D52" s="77"/>
      <c r="E52" s="77">
        <v>5.2940856452062866</v>
      </c>
      <c r="F52" s="77"/>
      <c r="G52" s="77"/>
      <c r="H52" s="77">
        <v>1.847844475792364</v>
      </c>
      <c r="I52" s="77"/>
      <c r="J52" s="77"/>
      <c r="K52" s="77"/>
      <c r="L52" s="77"/>
      <c r="M52" s="77"/>
      <c r="N52" s="77"/>
      <c r="O52" s="77"/>
      <c r="P52" s="77"/>
      <c r="Q52" s="77"/>
      <c r="R52" s="77"/>
      <c r="S52" s="77">
        <v>9.3634673227498233</v>
      </c>
    </row>
    <row r="53" spans="1:19" x14ac:dyDescent="0.2">
      <c r="A53" s="73" t="s">
        <v>23</v>
      </c>
      <c r="B53" s="77"/>
      <c r="C53" s="77">
        <v>344.49099999999999</v>
      </c>
      <c r="D53" s="77"/>
      <c r="E53" s="77">
        <v>3.68</v>
      </c>
      <c r="F53" s="77"/>
      <c r="G53" s="77"/>
      <c r="H53" s="77"/>
      <c r="I53" s="77"/>
      <c r="J53" s="77">
        <v>19.556999999999999</v>
      </c>
      <c r="K53" s="77"/>
      <c r="L53" s="77"/>
      <c r="M53" s="77"/>
      <c r="N53" s="77"/>
      <c r="O53" s="77">
        <v>983.51800000000003</v>
      </c>
      <c r="P53" s="77"/>
      <c r="Q53" s="77">
        <v>35.343000000000004</v>
      </c>
      <c r="R53" s="77">
        <v>470.33799999999997</v>
      </c>
      <c r="S53" s="77">
        <v>1856.9269999999999</v>
      </c>
    </row>
    <row r="54" spans="1:19" x14ac:dyDescent="0.2">
      <c r="A54" s="80" t="s">
        <v>153</v>
      </c>
      <c r="B54" s="77"/>
      <c r="C54" s="77">
        <v>109.858</v>
      </c>
      <c r="D54" s="77"/>
      <c r="E54" s="77">
        <v>1.206</v>
      </c>
      <c r="F54" s="77"/>
      <c r="G54" s="77"/>
      <c r="H54" s="77"/>
      <c r="I54" s="77"/>
      <c r="J54" s="77">
        <v>5.8780000000000001</v>
      </c>
      <c r="K54" s="77"/>
      <c r="L54" s="77"/>
      <c r="M54" s="77"/>
      <c r="N54" s="77"/>
      <c r="O54" s="77">
        <v>321.29199999999997</v>
      </c>
      <c r="P54" s="77"/>
      <c r="Q54" s="77">
        <v>11.582000000000001</v>
      </c>
      <c r="R54" s="77">
        <v>143.61799999999999</v>
      </c>
      <c r="S54" s="77">
        <v>593.43399999999997</v>
      </c>
    </row>
    <row r="55" spans="1:19" x14ac:dyDescent="0.2">
      <c r="A55" s="80" t="s">
        <v>154</v>
      </c>
      <c r="B55" s="77"/>
      <c r="C55" s="77">
        <v>157.97</v>
      </c>
      <c r="D55" s="77"/>
      <c r="E55" s="77">
        <v>1.55</v>
      </c>
      <c r="F55" s="77"/>
      <c r="G55" s="77"/>
      <c r="H55" s="77"/>
      <c r="I55" s="77"/>
      <c r="J55" s="77">
        <v>8.6579999999999995</v>
      </c>
      <c r="K55" s="77"/>
      <c r="L55" s="77"/>
      <c r="M55" s="77"/>
      <c r="N55" s="77"/>
      <c r="O55" s="77">
        <v>450.072</v>
      </c>
      <c r="P55" s="77"/>
      <c r="Q55" s="77">
        <v>14.89</v>
      </c>
      <c r="R55" s="77">
        <v>212.47900000000001</v>
      </c>
      <c r="S55" s="77">
        <v>845.61900000000003</v>
      </c>
    </row>
    <row r="56" spans="1:19" x14ac:dyDescent="0.2">
      <c r="A56" s="80" t="s">
        <v>155</v>
      </c>
      <c r="B56" s="77"/>
      <c r="C56" s="77">
        <v>76.662999999999997</v>
      </c>
      <c r="D56" s="77"/>
      <c r="E56" s="77">
        <v>0.92400000000000004</v>
      </c>
      <c r="F56" s="77"/>
      <c r="G56" s="77"/>
      <c r="H56" s="77"/>
      <c r="I56" s="77"/>
      <c r="J56" s="77">
        <v>5.0209999999999999</v>
      </c>
      <c r="K56" s="77"/>
      <c r="L56" s="77"/>
      <c r="M56" s="77"/>
      <c r="N56" s="77"/>
      <c r="O56" s="77">
        <v>212.154</v>
      </c>
      <c r="P56" s="77"/>
      <c r="Q56" s="77">
        <v>8.8710000000000004</v>
      </c>
      <c r="R56" s="77">
        <v>114.241</v>
      </c>
      <c r="S56" s="77">
        <v>417.87399999999997</v>
      </c>
    </row>
    <row r="57" spans="1:19" x14ac:dyDescent="0.2">
      <c r="A57" s="73" t="s">
        <v>164</v>
      </c>
      <c r="B57" s="77">
        <v>185.87620050479939</v>
      </c>
      <c r="C57" s="77">
        <v>765.82258974905744</v>
      </c>
      <c r="D57" s="77">
        <v>352.66699999999997</v>
      </c>
      <c r="E57" s="77">
        <v>3545.0739511347174</v>
      </c>
      <c r="F57" s="77">
        <v>157.91200000000001</v>
      </c>
      <c r="G57" s="77">
        <v>22.791167301486546</v>
      </c>
      <c r="H57" s="77">
        <v>171.60263826130372</v>
      </c>
      <c r="I57" s="77">
        <v>539.81280875563937</v>
      </c>
      <c r="J57" s="77">
        <v>19.556999999999999</v>
      </c>
      <c r="K57" s="77">
        <v>8924.8719999999994</v>
      </c>
      <c r="L57" s="77">
        <v>1034.4299999999998</v>
      </c>
      <c r="M57" s="77">
        <v>284.73</v>
      </c>
      <c r="N57" s="77">
        <v>21869.731999999996</v>
      </c>
      <c r="O57" s="77">
        <v>1048.4724900000001</v>
      </c>
      <c r="P57" s="77">
        <v>9421.8449999999993</v>
      </c>
      <c r="Q57" s="77">
        <v>1321.8609965790665</v>
      </c>
      <c r="R57" s="77">
        <v>561.90650200000005</v>
      </c>
      <c r="S57" s="77">
        <v>50228.964344286062</v>
      </c>
    </row>
    <row r="59" spans="1:19" x14ac:dyDescent="0.2">
      <c r="C59" s="77"/>
    </row>
    <row r="60" spans="1:19" x14ac:dyDescent="0.2">
      <c r="B60">
        <v>1000</v>
      </c>
      <c r="C60" s="77"/>
    </row>
    <row r="61" spans="1:19" x14ac:dyDescent="0.2">
      <c r="A61" s="75" t="s">
        <v>166</v>
      </c>
      <c r="B61" s="75" t="s">
        <v>165</v>
      </c>
      <c r="C61" s="75"/>
      <c r="D61" s="75"/>
      <c r="E61" s="75"/>
      <c r="F61" s="75"/>
      <c r="G61" s="75"/>
      <c r="H61" s="75"/>
      <c r="I61" s="75"/>
      <c r="J61" s="75"/>
      <c r="K61" s="75"/>
      <c r="L61" s="75"/>
      <c r="M61" s="75"/>
      <c r="N61" s="75"/>
      <c r="O61" s="75"/>
      <c r="P61" s="75"/>
      <c r="Q61" s="75"/>
      <c r="R61" s="75"/>
      <c r="S61" s="75"/>
    </row>
    <row r="62" spans="1:19" x14ac:dyDescent="0.2">
      <c r="A62" s="76" t="s">
        <v>163</v>
      </c>
      <c r="B62" s="76" t="s">
        <v>14</v>
      </c>
      <c r="C62" s="76" t="s">
        <v>20</v>
      </c>
      <c r="D62" s="76" t="s">
        <v>12</v>
      </c>
      <c r="E62" s="76" t="s">
        <v>15</v>
      </c>
      <c r="F62" s="76" t="s">
        <v>10</v>
      </c>
      <c r="G62" s="76" t="s">
        <v>136</v>
      </c>
      <c r="H62" s="76" t="s">
        <v>84</v>
      </c>
      <c r="I62" s="76" t="s">
        <v>131</v>
      </c>
      <c r="J62" s="76" t="s">
        <v>150</v>
      </c>
      <c r="K62" s="76" t="s">
        <v>132</v>
      </c>
      <c r="L62" s="76" t="s">
        <v>13</v>
      </c>
      <c r="M62" s="76" t="s">
        <v>133</v>
      </c>
      <c r="N62" s="76" t="s">
        <v>135</v>
      </c>
      <c r="O62" s="76" t="s">
        <v>21</v>
      </c>
      <c r="P62" s="76" t="s">
        <v>9</v>
      </c>
      <c r="Q62" s="76" t="s">
        <v>16</v>
      </c>
      <c r="R62" s="76" t="s">
        <v>17</v>
      </c>
      <c r="S62" s="76" t="s">
        <v>164</v>
      </c>
    </row>
    <row r="63" spans="1:19" s="27" customFormat="1" x14ac:dyDescent="0.2">
      <c r="A63" s="84" t="s">
        <v>18</v>
      </c>
      <c r="B63" s="82">
        <v>0</v>
      </c>
      <c r="C63" s="82">
        <v>0</v>
      </c>
      <c r="D63" s="82">
        <v>0</v>
      </c>
      <c r="E63" s="82">
        <v>46887.687409681756</v>
      </c>
      <c r="F63" s="82">
        <v>0</v>
      </c>
      <c r="G63" s="82">
        <v>0</v>
      </c>
      <c r="H63" s="82">
        <v>0</v>
      </c>
      <c r="I63" s="82">
        <v>0</v>
      </c>
      <c r="J63" s="82">
        <v>0</v>
      </c>
      <c r="K63" s="82">
        <v>0</v>
      </c>
      <c r="L63" s="82">
        <v>0</v>
      </c>
      <c r="M63" s="82">
        <v>0</v>
      </c>
      <c r="N63" s="82">
        <v>0</v>
      </c>
      <c r="O63" s="82">
        <v>0</v>
      </c>
      <c r="P63" s="82">
        <v>0</v>
      </c>
      <c r="Q63" s="82">
        <v>379484.08230763517</v>
      </c>
      <c r="R63" s="82">
        <v>0</v>
      </c>
      <c r="S63" s="82">
        <v>426371.7697173169</v>
      </c>
    </row>
    <row r="64" spans="1:19" s="27" customFormat="1" x14ac:dyDescent="0.2">
      <c r="A64" s="85" t="s">
        <v>153</v>
      </c>
      <c r="B64" s="83">
        <v>0</v>
      </c>
      <c r="C64" s="83">
        <v>0</v>
      </c>
      <c r="D64" s="83">
        <v>0</v>
      </c>
      <c r="E64" s="79">
        <v>17901.399576185249</v>
      </c>
      <c r="F64" s="83">
        <v>0</v>
      </c>
      <c r="G64" s="83">
        <v>0</v>
      </c>
      <c r="H64" s="83">
        <v>0</v>
      </c>
      <c r="I64" s="83">
        <v>0</v>
      </c>
      <c r="J64" s="83">
        <v>0</v>
      </c>
      <c r="K64" s="83">
        <v>0</v>
      </c>
      <c r="L64" s="83">
        <v>0</v>
      </c>
      <c r="M64" s="83">
        <v>0</v>
      </c>
      <c r="N64" s="83">
        <v>0</v>
      </c>
      <c r="O64" s="83">
        <v>0</v>
      </c>
      <c r="P64" s="83">
        <v>0</v>
      </c>
      <c r="Q64" s="79">
        <v>143733.53283933681</v>
      </c>
      <c r="R64" s="83">
        <v>0</v>
      </c>
      <c r="S64" s="83">
        <v>161634.93241552205</v>
      </c>
    </row>
    <row r="65" spans="1:19" s="27" customFormat="1" x14ac:dyDescent="0.2">
      <c r="A65" s="85" t="s">
        <v>154</v>
      </c>
      <c r="B65" s="83">
        <v>0</v>
      </c>
      <c r="C65" s="83">
        <v>0</v>
      </c>
      <c r="D65" s="83">
        <v>0</v>
      </c>
      <c r="E65" s="79">
        <v>20613.634414467</v>
      </c>
      <c r="F65" s="83">
        <v>0</v>
      </c>
      <c r="G65" s="83">
        <v>0</v>
      </c>
      <c r="H65" s="83">
        <v>0</v>
      </c>
      <c r="I65" s="83">
        <v>0</v>
      </c>
      <c r="J65" s="83">
        <v>0</v>
      </c>
      <c r="K65" s="83">
        <v>0</v>
      </c>
      <c r="L65" s="83">
        <v>0</v>
      </c>
      <c r="M65" s="83">
        <v>0</v>
      </c>
      <c r="N65" s="83">
        <v>0</v>
      </c>
      <c r="O65" s="83">
        <v>0</v>
      </c>
      <c r="P65" s="83">
        <v>0</v>
      </c>
      <c r="Q65" s="79">
        <v>167872.81904749959</v>
      </c>
      <c r="R65" s="83">
        <v>0</v>
      </c>
      <c r="S65" s="83">
        <v>188486.45346196662</v>
      </c>
    </row>
    <row r="66" spans="1:19" s="27" customFormat="1" x14ac:dyDescent="0.2">
      <c r="A66" s="85" t="s">
        <v>155</v>
      </c>
      <c r="B66" s="83">
        <v>0</v>
      </c>
      <c r="C66" s="83">
        <v>0</v>
      </c>
      <c r="D66" s="83">
        <v>0</v>
      </c>
      <c r="E66" s="79">
        <v>8372.653419029506</v>
      </c>
      <c r="F66" s="83">
        <v>0</v>
      </c>
      <c r="G66" s="83">
        <v>0</v>
      </c>
      <c r="H66" s="83">
        <v>0</v>
      </c>
      <c r="I66" s="83">
        <v>0</v>
      </c>
      <c r="J66" s="83">
        <v>0</v>
      </c>
      <c r="K66" s="83">
        <v>0</v>
      </c>
      <c r="L66" s="83">
        <v>0</v>
      </c>
      <c r="M66" s="83">
        <v>0</v>
      </c>
      <c r="N66" s="83">
        <v>0</v>
      </c>
      <c r="O66" s="83">
        <v>0</v>
      </c>
      <c r="P66" s="83">
        <v>0</v>
      </c>
      <c r="Q66" s="79">
        <v>67877.730420798718</v>
      </c>
      <c r="R66" s="83">
        <v>0</v>
      </c>
      <c r="S66" s="83">
        <v>76250.383839828224</v>
      </c>
    </row>
    <row r="67" spans="1:19" s="27" customFormat="1" x14ac:dyDescent="0.2">
      <c r="A67" s="84" t="s">
        <v>144</v>
      </c>
      <c r="B67" s="82">
        <v>0</v>
      </c>
      <c r="C67" s="82">
        <v>0</v>
      </c>
      <c r="D67" s="82">
        <v>0</v>
      </c>
      <c r="E67" s="82">
        <v>0</v>
      </c>
      <c r="F67" s="82">
        <v>0</v>
      </c>
      <c r="G67" s="82">
        <v>0</v>
      </c>
      <c r="H67" s="82">
        <v>0</v>
      </c>
      <c r="I67" s="82">
        <v>0</v>
      </c>
      <c r="J67" s="82">
        <v>0</v>
      </c>
      <c r="K67" s="81">
        <v>8924872</v>
      </c>
      <c r="L67" s="81">
        <v>947963</v>
      </c>
      <c r="M67" s="81">
        <v>284730</v>
      </c>
      <c r="N67" s="81">
        <v>21869112.999999996</v>
      </c>
      <c r="O67" s="82">
        <v>0</v>
      </c>
      <c r="P67" s="81">
        <v>9421845</v>
      </c>
      <c r="Q67" s="82">
        <v>0</v>
      </c>
      <c r="R67" s="82">
        <v>0</v>
      </c>
      <c r="S67" s="82">
        <v>41448523</v>
      </c>
    </row>
    <row r="68" spans="1:19" s="27" customFormat="1" x14ac:dyDescent="0.2">
      <c r="A68" s="85" t="s">
        <v>153</v>
      </c>
      <c r="B68" s="83">
        <v>0</v>
      </c>
      <c r="C68" s="83">
        <v>0</v>
      </c>
      <c r="D68" s="83">
        <v>0</v>
      </c>
      <c r="E68" s="83">
        <v>0</v>
      </c>
      <c r="F68" s="83">
        <v>0</v>
      </c>
      <c r="G68" s="83">
        <v>0</v>
      </c>
      <c r="H68" s="83">
        <v>0</v>
      </c>
      <c r="I68" s="83">
        <v>0</v>
      </c>
      <c r="J68" s="83">
        <v>0</v>
      </c>
      <c r="K68" s="83">
        <v>2948328</v>
      </c>
      <c r="L68" s="83">
        <v>318442</v>
      </c>
      <c r="M68" s="83">
        <v>87154</v>
      </c>
      <c r="N68" s="83">
        <v>7199445</v>
      </c>
      <c r="O68" s="83">
        <v>0</v>
      </c>
      <c r="P68" s="83">
        <v>2930213</v>
      </c>
      <c r="Q68" s="83">
        <v>0</v>
      </c>
      <c r="R68" s="83">
        <v>0</v>
      </c>
      <c r="S68" s="83">
        <v>13483581.999999998</v>
      </c>
    </row>
    <row r="69" spans="1:19" s="27" customFormat="1" x14ac:dyDescent="0.2">
      <c r="A69" s="85" t="s">
        <v>154</v>
      </c>
      <c r="B69" s="83">
        <v>0</v>
      </c>
      <c r="C69" s="83">
        <v>0</v>
      </c>
      <c r="D69" s="83">
        <v>0</v>
      </c>
      <c r="E69" s="83">
        <v>0</v>
      </c>
      <c r="F69" s="83">
        <v>0</v>
      </c>
      <c r="G69" s="83">
        <v>0</v>
      </c>
      <c r="H69" s="83">
        <v>0</v>
      </c>
      <c r="I69" s="83">
        <v>0</v>
      </c>
      <c r="J69" s="83">
        <v>0</v>
      </c>
      <c r="K69" s="83">
        <v>3966811</v>
      </c>
      <c r="L69" s="83">
        <v>363024</v>
      </c>
      <c r="M69" s="83">
        <v>122971</v>
      </c>
      <c r="N69" s="83">
        <v>9244087</v>
      </c>
      <c r="O69" s="83">
        <v>0</v>
      </c>
      <c r="P69" s="83">
        <v>4032008</v>
      </c>
      <c r="Q69" s="83">
        <v>0</v>
      </c>
      <c r="R69" s="83">
        <v>0</v>
      </c>
      <c r="S69" s="83">
        <v>17728900.999999996</v>
      </c>
    </row>
    <row r="70" spans="1:19" s="27" customFormat="1" x14ac:dyDescent="0.2">
      <c r="A70" s="85" t="s">
        <v>155</v>
      </c>
      <c r="B70" s="83">
        <v>0</v>
      </c>
      <c r="C70" s="83">
        <v>0</v>
      </c>
      <c r="D70" s="83">
        <v>0</v>
      </c>
      <c r="E70" s="83">
        <v>0</v>
      </c>
      <c r="F70" s="83">
        <v>0</v>
      </c>
      <c r="G70" s="83">
        <v>0</v>
      </c>
      <c r="H70" s="83">
        <v>0</v>
      </c>
      <c r="I70" s="83">
        <v>0</v>
      </c>
      <c r="J70" s="83">
        <v>0</v>
      </c>
      <c r="K70" s="83">
        <v>2009733</v>
      </c>
      <c r="L70" s="83">
        <v>266497</v>
      </c>
      <c r="M70" s="83">
        <v>74605</v>
      </c>
      <c r="N70" s="83">
        <v>5425581</v>
      </c>
      <c r="O70" s="83">
        <v>0</v>
      </c>
      <c r="P70" s="83">
        <v>2459624</v>
      </c>
      <c r="Q70" s="83">
        <v>0</v>
      </c>
      <c r="R70" s="83">
        <v>0</v>
      </c>
      <c r="S70" s="83">
        <v>10236040</v>
      </c>
    </row>
    <row r="71" spans="1:19" s="27" customFormat="1" x14ac:dyDescent="0.2">
      <c r="A71" s="84" t="s">
        <v>19</v>
      </c>
      <c r="B71" s="82">
        <v>0</v>
      </c>
      <c r="C71" s="82">
        <v>0</v>
      </c>
      <c r="D71" s="82">
        <v>0</v>
      </c>
      <c r="E71" s="81">
        <v>436340.56720999995</v>
      </c>
      <c r="F71" s="82">
        <v>0</v>
      </c>
      <c r="G71" s="81">
        <v>4053.7023200000003</v>
      </c>
      <c r="H71" s="82">
        <v>0</v>
      </c>
      <c r="I71" s="82">
        <v>0</v>
      </c>
      <c r="J71" s="82">
        <v>0</v>
      </c>
      <c r="K71" s="82">
        <v>0</v>
      </c>
      <c r="L71" s="82">
        <v>0</v>
      </c>
      <c r="M71" s="82">
        <v>0</v>
      </c>
      <c r="N71" s="82">
        <v>0</v>
      </c>
      <c r="O71" s="82">
        <v>0</v>
      </c>
      <c r="P71" s="82">
        <v>0</v>
      </c>
      <c r="Q71" s="82">
        <v>0</v>
      </c>
      <c r="R71" s="82">
        <v>0</v>
      </c>
      <c r="S71" s="82">
        <v>440394.26952999999</v>
      </c>
    </row>
    <row r="72" spans="1:19" s="27" customFormat="1" x14ac:dyDescent="0.2">
      <c r="A72" s="85" t="s">
        <v>153</v>
      </c>
      <c r="B72" s="83">
        <v>0</v>
      </c>
      <c r="C72" s="83">
        <v>0</v>
      </c>
      <c r="D72" s="83">
        <v>0</v>
      </c>
      <c r="E72" s="83">
        <v>142282.73301</v>
      </c>
      <c r="F72" s="83">
        <v>0</v>
      </c>
      <c r="G72" s="83">
        <v>1331.2729999999999</v>
      </c>
      <c r="H72" s="83">
        <v>0</v>
      </c>
      <c r="I72" s="83">
        <v>0</v>
      </c>
      <c r="J72" s="83">
        <v>0</v>
      </c>
      <c r="K72" s="83">
        <v>0</v>
      </c>
      <c r="L72" s="83">
        <v>0</v>
      </c>
      <c r="M72" s="83">
        <v>0</v>
      </c>
      <c r="N72" s="83">
        <v>0</v>
      </c>
      <c r="O72" s="83">
        <v>0</v>
      </c>
      <c r="P72" s="83">
        <v>0</v>
      </c>
      <c r="Q72" s="83">
        <v>0</v>
      </c>
      <c r="R72" s="83">
        <v>0</v>
      </c>
      <c r="S72" s="83">
        <v>143614.00600999998</v>
      </c>
    </row>
    <row r="73" spans="1:19" s="27" customFormat="1" x14ac:dyDescent="0.2">
      <c r="A73" s="85" t="s">
        <v>154</v>
      </c>
      <c r="B73" s="83">
        <v>0</v>
      </c>
      <c r="C73" s="83">
        <v>0</v>
      </c>
      <c r="D73" s="83">
        <v>0</v>
      </c>
      <c r="E73" s="83">
        <v>188740.28461999999</v>
      </c>
      <c r="F73" s="83">
        <v>0</v>
      </c>
      <c r="G73" s="83">
        <v>1783.21273</v>
      </c>
      <c r="H73" s="83">
        <v>0</v>
      </c>
      <c r="I73" s="83">
        <v>0</v>
      </c>
      <c r="J73" s="83">
        <v>0</v>
      </c>
      <c r="K73" s="83">
        <v>0</v>
      </c>
      <c r="L73" s="83">
        <v>0</v>
      </c>
      <c r="M73" s="83">
        <v>0</v>
      </c>
      <c r="N73" s="83">
        <v>0</v>
      </c>
      <c r="O73" s="83">
        <v>0</v>
      </c>
      <c r="P73" s="83">
        <v>0</v>
      </c>
      <c r="Q73" s="83">
        <v>0</v>
      </c>
      <c r="R73" s="83">
        <v>0</v>
      </c>
      <c r="S73" s="83">
        <v>190523.49734999999</v>
      </c>
    </row>
    <row r="74" spans="1:19" s="27" customFormat="1" x14ac:dyDescent="0.2">
      <c r="A74" s="85" t="s">
        <v>155</v>
      </c>
      <c r="B74" s="83">
        <v>0</v>
      </c>
      <c r="C74" s="83">
        <v>0</v>
      </c>
      <c r="D74" s="83">
        <v>0</v>
      </c>
      <c r="E74" s="83">
        <v>105317.54958000001</v>
      </c>
      <c r="F74" s="83">
        <v>0</v>
      </c>
      <c r="G74" s="83">
        <v>939.21659</v>
      </c>
      <c r="H74" s="83">
        <v>0</v>
      </c>
      <c r="I74" s="83">
        <v>0</v>
      </c>
      <c r="J74" s="83">
        <v>0</v>
      </c>
      <c r="K74" s="83">
        <v>0</v>
      </c>
      <c r="L74" s="83">
        <v>0</v>
      </c>
      <c r="M74" s="83">
        <v>0</v>
      </c>
      <c r="N74" s="83">
        <v>0</v>
      </c>
      <c r="O74" s="83">
        <v>0</v>
      </c>
      <c r="P74" s="83">
        <v>0</v>
      </c>
      <c r="Q74" s="83">
        <v>0</v>
      </c>
      <c r="R74" s="83">
        <v>0</v>
      </c>
      <c r="S74" s="83">
        <v>106256.76617</v>
      </c>
    </row>
    <row r="75" spans="1:19" s="27" customFormat="1" x14ac:dyDescent="0.2">
      <c r="A75" s="84" t="s">
        <v>145</v>
      </c>
      <c r="B75" s="82">
        <v>0</v>
      </c>
      <c r="C75" s="81">
        <v>34397.275999999998</v>
      </c>
      <c r="D75" s="82">
        <v>0</v>
      </c>
      <c r="E75" s="82">
        <v>0</v>
      </c>
      <c r="F75" s="82">
        <v>0</v>
      </c>
      <c r="G75" s="82">
        <v>0</v>
      </c>
      <c r="H75" s="82">
        <v>0</v>
      </c>
      <c r="I75" s="82">
        <v>0</v>
      </c>
      <c r="J75" s="82">
        <v>0</v>
      </c>
      <c r="K75" s="82">
        <v>0</v>
      </c>
      <c r="L75" s="82">
        <v>0</v>
      </c>
      <c r="M75" s="82">
        <v>0</v>
      </c>
      <c r="N75" s="82">
        <v>0</v>
      </c>
      <c r="O75" s="82">
        <v>0</v>
      </c>
      <c r="P75" s="82">
        <v>0</v>
      </c>
      <c r="Q75" s="82">
        <v>0</v>
      </c>
      <c r="R75" s="81">
        <v>25947.502</v>
      </c>
      <c r="S75" s="82">
        <v>60344.777999999998</v>
      </c>
    </row>
    <row r="76" spans="1:19" s="27" customFormat="1" x14ac:dyDescent="0.2">
      <c r="A76" s="85" t="s">
        <v>153</v>
      </c>
      <c r="B76" s="83">
        <v>0</v>
      </c>
      <c r="C76" s="83">
        <v>11289.83</v>
      </c>
      <c r="D76" s="83">
        <v>0</v>
      </c>
      <c r="E76" s="83">
        <v>0</v>
      </c>
      <c r="F76" s="83">
        <v>0</v>
      </c>
      <c r="G76" s="83">
        <v>0</v>
      </c>
      <c r="H76" s="83">
        <v>0</v>
      </c>
      <c r="I76" s="83">
        <v>0</v>
      </c>
      <c r="J76" s="83">
        <v>0</v>
      </c>
      <c r="K76" s="83">
        <v>0</v>
      </c>
      <c r="L76" s="83">
        <v>0</v>
      </c>
      <c r="M76" s="83">
        <v>0</v>
      </c>
      <c r="N76" s="83">
        <v>0</v>
      </c>
      <c r="O76" s="83">
        <v>0</v>
      </c>
      <c r="P76" s="83">
        <v>0</v>
      </c>
      <c r="Q76" s="83">
        <v>0</v>
      </c>
      <c r="R76" s="83">
        <v>8604.5049999999992</v>
      </c>
      <c r="S76" s="83">
        <v>19894.334999999999</v>
      </c>
    </row>
    <row r="77" spans="1:19" s="27" customFormat="1" x14ac:dyDescent="0.2">
      <c r="A77" s="85" t="s">
        <v>154</v>
      </c>
      <c r="B77" s="83">
        <v>0</v>
      </c>
      <c r="C77" s="83">
        <v>15297.253000000001</v>
      </c>
      <c r="D77" s="83">
        <v>0</v>
      </c>
      <c r="E77" s="83">
        <v>0</v>
      </c>
      <c r="F77" s="83">
        <v>0</v>
      </c>
      <c r="G77" s="83">
        <v>0</v>
      </c>
      <c r="H77" s="83">
        <v>0</v>
      </c>
      <c r="I77" s="83">
        <v>0</v>
      </c>
      <c r="J77" s="83">
        <v>0</v>
      </c>
      <c r="K77" s="83">
        <v>0</v>
      </c>
      <c r="L77" s="83">
        <v>0</v>
      </c>
      <c r="M77" s="83">
        <v>0</v>
      </c>
      <c r="N77" s="83">
        <v>0</v>
      </c>
      <c r="O77" s="83">
        <v>0</v>
      </c>
      <c r="P77" s="83">
        <v>0</v>
      </c>
      <c r="Q77" s="83">
        <v>0</v>
      </c>
      <c r="R77" s="83">
        <v>11536.13</v>
      </c>
      <c r="S77" s="83">
        <v>26833.383000000002</v>
      </c>
    </row>
    <row r="78" spans="1:19" s="27" customFormat="1" x14ac:dyDescent="0.2">
      <c r="A78" s="85" t="s">
        <v>155</v>
      </c>
      <c r="B78" s="83">
        <v>0</v>
      </c>
      <c r="C78" s="83">
        <v>7810.1930000000002</v>
      </c>
      <c r="D78" s="83">
        <v>0</v>
      </c>
      <c r="E78" s="83">
        <v>0</v>
      </c>
      <c r="F78" s="83">
        <v>0</v>
      </c>
      <c r="G78" s="83">
        <v>0</v>
      </c>
      <c r="H78" s="83">
        <v>0</v>
      </c>
      <c r="I78" s="83">
        <v>0</v>
      </c>
      <c r="J78" s="83">
        <v>0</v>
      </c>
      <c r="K78" s="83">
        <v>0</v>
      </c>
      <c r="L78" s="83">
        <v>0</v>
      </c>
      <c r="M78" s="83">
        <v>0</v>
      </c>
      <c r="N78" s="83">
        <v>0</v>
      </c>
      <c r="O78" s="83">
        <v>0</v>
      </c>
      <c r="P78" s="83">
        <v>0</v>
      </c>
      <c r="Q78" s="83">
        <v>0</v>
      </c>
      <c r="R78" s="83">
        <v>5806.8670000000002</v>
      </c>
      <c r="S78" s="83">
        <v>13617.06</v>
      </c>
    </row>
    <row r="79" spans="1:19" s="27" customFormat="1" x14ac:dyDescent="0.2">
      <c r="A79" s="84" t="s">
        <v>146</v>
      </c>
      <c r="B79" s="82">
        <v>0</v>
      </c>
      <c r="C79" s="82">
        <v>0</v>
      </c>
      <c r="D79" s="82">
        <v>0</v>
      </c>
      <c r="E79" s="81">
        <v>1696924.9760699999</v>
      </c>
      <c r="F79" s="82">
        <v>0</v>
      </c>
      <c r="G79" s="82">
        <v>0</v>
      </c>
      <c r="H79" s="81">
        <v>97672.170589999994</v>
      </c>
      <c r="I79" s="82">
        <v>0</v>
      </c>
      <c r="J79" s="82">
        <v>0</v>
      </c>
      <c r="K79" s="82">
        <v>0</v>
      </c>
      <c r="L79" s="82">
        <v>0</v>
      </c>
      <c r="M79" s="82">
        <v>0</v>
      </c>
      <c r="N79" s="82">
        <v>0</v>
      </c>
      <c r="O79" s="82">
        <v>0</v>
      </c>
      <c r="P79" s="82">
        <v>0</v>
      </c>
      <c r="Q79" s="82">
        <v>0</v>
      </c>
      <c r="R79" s="82">
        <v>0</v>
      </c>
      <c r="S79" s="82">
        <v>1794597.1466599999</v>
      </c>
    </row>
    <row r="80" spans="1:19" s="27" customFormat="1" x14ac:dyDescent="0.2">
      <c r="A80" s="85" t="s">
        <v>153</v>
      </c>
      <c r="B80" s="83">
        <v>0</v>
      </c>
      <c r="C80" s="83">
        <v>0</v>
      </c>
      <c r="D80" s="83">
        <v>0</v>
      </c>
      <c r="E80" s="83">
        <v>551690.42753999995</v>
      </c>
      <c r="F80" s="83">
        <v>0</v>
      </c>
      <c r="G80" s="83">
        <v>0</v>
      </c>
      <c r="H80" s="83">
        <v>30699.15336</v>
      </c>
      <c r="I80" s="83">
        <v>0</v>
      </c>
      <c r="J80" s="83">
        <v>0</v>
      </c>
      <c r="K80" s="83">
        <v>0</v>
      </c>
      <c r="L80" s="83">
        <v>0</v>
      </c>
      <c r="M80" s="83">
        <v>0</v>
      </c>
      <c r="N80" s="83">
        <v>0</v>
      </c>
      <c r="O80" s="83">
        <v>0</v>
      </c>
      <c r="P80" s="83">
        <v>0</v>
      </c>
      <c r="Q80" s="83">
        <v>0</v>
      </c>
      <c r="R80" s="83">
        <v>0</v>
      </c>
      <c r="S80" s="83">
        <v>582389.58089999994</v>
      </c>
    </row>
    <row r="81" spans="1:19" s="27" customFormat="1" x14ac:dyDescent="0.2">
      <c r="A81" s="85" t="s">
        <v>154</v>
      </c>
      <c r="B81" s="83">
        <v>0</v>
      </c>
      <c r="C81" s="83">
        <v>0</v>
      </c>
      <c r="D81" s="83">
        <v>0</v>
      </c>
      <c r="E81" s="83">
        <v>752558.14835000003</v>
      </c>
      <c r="F81" s="83">
        <v>0</v>
      </c>
      <c r="G81" s="83">
        <v>0</v>
      </c>
      <c r="H81" s="83">
        <v>41516.13637</v>
      </c>
      <c r="I81" s="83">
        <v>0</v>
      </c>
      <c r="J81" s="83">
        <v>0</v>
      </c>
      <c r="K81" s="83">
        <v>0</v>
      </c>
      <c r="L81" s="83">
        <v>0</v>
      </c>
      <c r="M81" s="83">
        <v>0</v>
      </c>
      <c r="N81" s="83">
        <v>0</v>
      </c>
      <c r="O81" s="83">
        <v>0</v>
      </c>
      <c r="P81" s="83">
        <v>0</v>
      </c>
      <c r="Q81" s="83">
        <v>0</v>
      </c>
      <c r="R81" s="83">
        <v>0</v>
      </c>
      <c r="S81" s="83">
        <v>794074.28472</v>
      </c>
    </row>
    <row r="82" spans="1:19" s="27" customFormat="1" x14ac:dyDescent="0.2">
      <c r="A82" s="85" t="s">
        <v>155</v>
      </c>
      <c r="B82" s="83">
        <v>0</v>
      </c>
      <c r="C82" s="83">
        <v>0</v>
      </c>
      <c r="D82" s="83">
        <v>0</v>
      </c>
      <c r="E82" s="83">
        <v>392676.40018</v>
      </c>
      <c r="F82" s="83">
        <v>0</v>
      </c>
      <c r="G82" s="83">
        <v>0</v>
      </c>
      <c r="H82" s="83">
        <v>25456.880860000001</v>
      </c>
      <c r="I82" s="83">
        <v>0</v>
      </c>
      <c r="J82" s="83">
        <v>0</v>
      </c>
      <c r="K82" s="83">
        <v>0</v>
      </c>
      <c r="L82" s="83">
        <v>0</v>
      </c>
      <c r="M82" s="83">
        <v>0</v>
      </c>
      <c r="N82" s="83">
        <v>0</v>
      </c>
      <c r="O82" s="83">
        <v>0</v>
      </c>
      <c r="P82" s="83">
        <v>0</v>
      </c>
      <c r="Q82" s="83">
        <v>0</v>
      </c>
      <c r="R82" s="83">
        <v>0</v>
      </c>
      <c r="S82" s="83">
        <v>418133.28103999997</v>
      </c>
    </row>
    <row r="83" spans="1:19" s="27" customFormat="1" x14ac:dyDescent="0.2">
      <c r="A83" s="84" t="s">
        <v>147</v>
      </c>
      <c r="B83" s="82">
        <v>0</v>
      </c>
      <c r="C83" s="82">
        <v>1215.3137490573786</v>
      </c>
      <c r="D83" s="82">
        <v>0</v>
      </c>
      <c r="E83" s="82">
        <v>0</v>
      </c>
      <c r="F83" s="82">
        <v>0</v>
      </c>
      <c r="G83" s="82">
        <v>0</v>
      </c>
      <c r="H83" s="82">
        <v>0</v>
      </c>
      <c r="I83" s="82">
        <v>0</v>
      </c>
      <c r="J83" s="82">
        <v>0</v>
      </c>
      <c r="K83" s="82">
        <v>0</v>
      </c>
      <c r="L83" s="82">
        <v>0</v>
      </c>
      <c r="M83" s="82">
        <v>0</v>
      </c>
      <c r="N83" s="82">
        <v>0</v>
      </c>
      <c r="O83" s="82">
        <v>10133.49</v>
      </c>
      <c r="P83" s="82">
        <v>0</v>
      </c>
      <c r="Q83" s="82">
        <v>0</v>
      </c>
      <c r="R83" s="82">
        <v>0</v>
      </c>
      <c r="S83" s="82">
        <v>11348.803749057381</v>
      </c>
    </row>
    <row r="84" spans="1:19" s="27" customFormat="1" x14ac:dyDescent="0.2">
      <c r="A84" s="85" t="s">
        <v>153</v>
      </c>
      <c r="B84" s="83">
        <v>0</v>
      </c>
      <c r="C84" s="83">
        <v>407.16899999999998</v>
      </c>
      <c r="D84" s="83">
        <v>0</v>
      </c>
      <c r="E84" s="83">
        <v>0</v>
      </c>
      <c r="F84" s="83">
        <v>0</v>
      </c>
      <c r="G84" s="83">
        <v>0</v>
      </c>
      <c r="H84" s="83">
        <v>0</v>
      </c>
      <c r="I84" s="83">
        <v>0</v>
      </c>
      <c r="J84" s="83">
        <v>0</v>
      </c>
      <c r="K84" s="83">
        <v>0</v>
      </c>
      <c r="L84" s="83">
        <v>0</v>
      </c>
      <c r="M84" s="83">
        <v>0</v>
      </c>
      <c r="N84" s="83">
        <v>0</v>
      </c>
      <c r="O84" s="83">
        <v>3374.9189999999999</v>
      </c>
      <c r="P84" s="83">
        <v>0</v>
      </c>
      <c r="Q84" s="83">
        <v>0</v>
      </c>
      <c r="R84" s="83">
        <v>0</v>
      </c>
      <c r="S84" s="83">
        <v>3782.0879999999997</v>
      </c>
    </row>
    <row r="85" spans="1:19" s="27" customFormat="1" x14ac:dyDescent="0.2">
      <c r="A85" s="85" t="s">
        <v>154</v>
      </c>
      <c r="B85" s="83">
        <v>0</v>
      </c>
      <c r="C85" s="83">
        <v>507.30874905737863</v>
      </c>
      <c r="D85" s="83">
        <v>0</v>
      </c>
      <c r="E85" s="83">
        <v>0</v>
      </c>
      <c r="F85" s="83">
        <v>0</v>
      </c>
      <c r="G85" s="83">
        <v>0</v>
      </c>
      <c r="H85" s="83">
        <v>0</v>
      </c>
      <c r="I85" s="83">
        <v>0</v>
      </c>
      <c r="J85" s="83">
        <v>0</v>
      </c>
      <c r="K85" s="83">
        <v>0</v>
      </c>
      <c r="L85" s="83">
        <v>0</v>
      </c>
      <c r="M85" s="83">
        <v>0</v>
      </c>
      <c r="N85" s="83">
        <v>0</v>
      </c>
      <c r="O85" s="83">
        <v>4102.848</v>
      </c>
      <c r="P85" s="83">
        <v>0</v>
      </c>
      <c r="Q85" s="83">
        <v>0</v>
      </c>
      <c r="R85" s="83">
        <v>0</v>
      </c>
      <c r="S85" s="83">
        <v>4610.1567490573789</v>
      </c>
    </row>
    <row r="86" spans="1:19" s="27" customFormat="1" x14ac:dyDescent="0.2">
      <c r="A86" s="85" t="s">
        <v>155</v>
      </c>
      <c r="B86" s="83">
        <v>0</v>
      </c>
      <c r="C86" s="83">
        <v>300.83600000000001</v>
      </c>
      <c r="D86" s="83">
        <v>0</v>
      </c>
      <c r="E86" s="83">
        <v>0</v>
      </c>
      <c r="F86" s="83">
        <v>0</v>
      </c>
      <c r="G86" s="83">
        <v>0</v>
      </c>
      <c r="H86" s="83">
        <v>0</v>
      </c>
      <c r="I86" s="83">
        <v>0</v>
      </c>
      <c r="J86" s="83">
        <v>0</v>
      </c>
      <c r="K86" s="83">
        <v>0</v>
      </c>
      <c r="L86" s="83">
        <v>0</v>
      </c>
      <c r="M86" s="83">
        <v>0</v>
      </c>
      <c r="N86" s="83">
        <v>0</v>
      </c>
      <c r="O86" s="83">
        <v>2655.723</v>
      </c>
      <c r="P86" s="83">
        <v>0</v>
      </c>
      <c r="Q86" s="83">
        <v>0</v>
      </c>
      <c r="R86" s="83">
        <v>0</v>
      </c>
      <c r="S86" s="83">
        <v>2956.5589999999997</v>
      </c>
    </row>
    <row r="87" spans="1:19" s="27" customFormat="1" x14ac:dyDescent="0.2">
      <c r="A87" s="84" t="s">
        <v>148</v>
      </c>
      <c r="B87" s="82">
        <v>0</v>
      </c>
      <c r="C87" s="82">
        <v>0</v>
      </c>
      <c r="D87" s="82">
        <v>0</v>
      </c>
      <c r="E87" s="82">
        <v>0</v>
      </c>
      <c r="F87" s="81">
        <v>123689</v>
      </c>
      <c r="G87" s="82">
        <v>0</v>
      </c>
      <c r="H87" s="82">
        <v>0</v>
      </c>
      <c r="I87" s="82">
        <v>0</v>
      </c>
      <c r="J87" s="82">
        <v>0</v>
      </c>
      <c r="K87" s="82">
        <v>0</v>
      </c>
      <c r="L87" s="82">
        <v>0</v>
      </c>
      <c r="M87" s="82">
        <v>0</v>
      </c>
      <c r="N87" s="82">
        <v>0</v>
      </c>
      <c r="O87" s="82">
        <v>0</v>
      </c>
      <c r="P87" s="82">
        <v>0</v>
      </c>
      <c r="Q87" s="82">
        <v>0</v>
      </c>
      <c r="R87" s="82">
        <v>0</v>
      </c>
      <c r="S87" s="82">
        <v>123689</v>
      </c>
    </row>
    <row r="88" spans="1:19" s="27" customFormat="1" x14ac:dyDescent="0.2">
      <c r="A88" s="85" t="s">
        <v>153</v>
      </c>
      <c r="B88" s="83">
        <v>0</v>
      </c>
      <c r="C88" s="83">
        <v>0</v>
      </c>
      <c r="D88" s="83">
        <v>0</v>
      </c>
      <c r="E88" s="83">
        <v>0</v>
      </c>
      <c r="F88" s="83">
        <v>44801</v>
      </c>
      <c r="G88" s="83">
        <v>0</v>
      </c>
      <c r="H88" s="83">
        <v>0</v>
      </c>
      <c r="I88" s="83">
        <v>0</v>
      </c>
      <c r="J88" s="83">
        <v>0</v>
      </c>
      <c r="K88" s="83">
        <v>0</v>
      </c>
      <c r="L88" s="83">
        <v>0</v>
      </c>
      <c r="M88" s="83">
        <v>0</v>
      </c>
      <c r="N88" s="83">
        <v>0</v>
      </c>
      <c r="O88" s="83">
        <v>0</v>
      </c>
      <c r="P88" s="83">
        <v>0</v>
      </c>
      <c r="Q88" s="83">
        <v>0</v>
      </c>
      <c r="R88" s="83">
        <v>0</v>
      </c>
      <c r="S88" s="83">
        <v>44801</v>
      </c>
    </row>
    <row r="89" spans="1:19" s="27" customFormat="1" x14ac:dyDescent="0.2">
      <c r="A89" s="85" t="s">
        <v>154</v>
      </c>
      <c r="B89" s="83">
        <v>0</v>
      </c>
      <c r="C89" s="83">
        <v>0</v>
      </c>
      <c r="D89" s="83">
        <v>0</v>
      </c>
      <c r="E89" s="83">
        <v>0</v>
      </c>
      <c r="F89" s="83">
        <v>48094</v>
      </c>
      <c r="G89" s="83">
        <v>0</v>
      </c>
      <c r="H89" s="83">
        <v>0</v>
      </c>
      <c r="I89" s="83">
        <v>0</v>
      </c>
      <c r="J89" s="83">
        <v>0</v>
      </c>
      <c r="K89" s="83">
        <v>0</v>
      </c>
      <c r="L89" s="83">
        <v>0</v>
      </c>
      <c r="M89" s="83">
        <v>0</v>
      </c>
      <c r="N89" s="83">
        <v>0</v>
      </c>
      <c r="O89" s="83">
        <v>0</v>
      </c>
      <c r="P89" s="83">
        <v>0</v>
      </c>
      <c r="Q89" s="83">
        <v>0</v>
      </c>
      <c r="R89" s="83">
        <v>0</v>
      </c>
      <c r="S89" s="83">
        <v>48094</v>
      </c>
    </row>
    <row r="90" spans="1:19" s="27" customFormat="1" x14ac:dyDescent="0.2">
      <c r="A90" s="85" t="s">
        <v>155</v>
      </c>
      <c r="B90" s="83">
        <v>0</v>
      </c>
      <c r="C90" s="83">
        <v>0</v>
      </c>
      <c r="D90" s="83">
        <v>0</v>
      </c>
      <c r="E90" s="83">
        <v>0</v>
      </c>
      <c r="F90" s="83">
        <v>30794</v>
      </c>
      <c r="G90" s="83">
        <v>0</v>
      </c>
      <c r="H90" s="83">
        <v>0</v>
      </c>
      <c r="I90" s="83">
        <v>0</v>
      </c>
      <c r="J90" s="83">
        <v>0</v>
      </c>
      <c r="K90" s="83">
        <v>0</v>
      </c>
      <c r="L90" s="83">
        <v>0</v>
      </c>
      <c r="M90" s="83">
        <v>0</v>
      </c>
      <c r="N90" s="83">
        <v>0</v>
      </c>
      <c r="O90" s="83">
        <v>0</v>
      </c>
      <c r="P90" s="83">
        <v>0</v>
      </c>
      <c r="Q90" s="83">
        <v>0</v>
      </c>
      <c r="R90" s="83">
        <v>0</v>
      </c>
      <c r="S90" s="83">
        <v>30794</v>
      </c>
    </row>
    <row r="91" spans="1:19" s="27" customFormat="1" x14ac:dyDescent="0.2">
      <c r="A91" s="84" t="s">
        <v>11</v>
      </c>
      <c r="B91" s="82">
        <v>0</v>
      </c>
      <c r="C91" s="82">
        <v>0</v>
      </c>
      <c r="D91" s="81">
        <v>352667</v>
      </c>
      <c r="E91" s="82">
        <v>0</v>
      </c>
      <c r="F91" s="81">
        <v>34223</v>
      </c>
      <c r="G91" s="82">
        <v>0</v>
      </c>
      <c r="H91" s="82">
        <v>0</v>
      </c>
      <c r="I91" s="82">
        <v>0</v>
      </c>
      <c r="J91" s="82">
        <v>0</v>
      </c>
      <c r="K91" s="82">
        <v>0</v>
      </c>
      <c r="L91" s="81">
        <v>86467</v>
      </c>
      <c r="M91" s="82">
        <v>0</v>
      </c>
      <c r="N91" s="81">
        <v>619</v>
      </c>
      <c r="O91" s="82">
        <v>0</v>
      </c>
      <c r="P91" s="82">
        <v>0</v>
      </c>
      <c r="Q91" s="82">
        <v>0</v>
      </c>
      <c r="R91" s="82">
        <v>0</v>
      </c>
      <c r="S91" s="82">
        <v>473976</v>
      </c>
    </row>
    <row r="92" spans="1:19" s="27" customFormat="1" x14ac:dyDescent="0.2">
      <c r="A92" s="85" t="s">
        <v>153</v>
      </c>
      <c r="B92" s="83">
        <v>0</v>
      </c>
      <c r="C92" s="83">
        <v>0</v>
      </c>
      <c r="D92" s="83">
        <v>125696</v>
      </c>
      <c r="E92" s="83">
        <v>0</v>
      </c>
      <c r="F92" s="83">
        <v>12462</v>
      </c>
      <c r="G92" s="83">
        <v>0</v>
      </c>
      <c r="H92" s="83">
        <v>0</v>
      </c>
      <c r="I92" s="83">
        <v>0</v>
      </c>
      <c r="J92" s="83">
        <v>0</v>
      </c>
      <c r="K92" s="83">
        <v>0</v>
      </c>
      <c r="L92" s="83">
        <v>29626</v>
      </c>
      <c r="M92" s="83">
        <v>0</v>
      </c>
      <c r="N92" s="83">
        <v>277</v>
      </c>
      <c r="O92" s="83">
        <v>0</v>
      </c>
      <c r="P92" s="83">
        <v>0</v>
      </c>
      <c r="Q92" s="83">
        <v>0</v>
      </c>
      <c r="R92" s="83">
        <v>0</v>
      </c>
      <c r="S92" s="83">
        <v>168060.99999999997</v>
      </c>
    </row>
    <row r="93" spans="1:19" s="27" customFormat="1" x14ac:dyDescent="0.2">
      <c r="A93" s="85" t="s">
        <v>154</v>
      </c>
      <c r="B93" s="83">
        <v>0</v>
      </c>
      <c r="C93" s="83">
        <v>0</v>
      </c>
      <c r="D93" s="83">
        <v>156425</v>
      </c>
      <c r="E93" s="83">
        <v>0</v>
      </c>
      <c r="F93" s="83">
        <v>13628</v>
      </c>
      <c r="G93" s="83">
        <v>0</v>
      </c>
      <c r="H93" s="83">
        <v>0</v>
      </c>
      <c r="I93" s="83">
        <v>0</v>
      </c>
      <c r="J93" s="83">
        <v>0</v>
      </c>
      <c r="K93" s="83">
        <v>0</v>
      </c>
      <c r="L93" s="83">
        <v>35833</v>
      </c>
      <c r="M93" s="83">
        <v>0</v>
      </c>
      <c r="N93" s="83">
        <v>178</v>
      </c>
      <c r="O93" s="83">
        <v>0</v>
      </c>
      <c r="P93" s="83">
        <v>0</v>
      </c>
      <c r="Q93" s="83">
        <v>0</v>
      </c>
      <c r="R93" s="83">
        <v>0</v>
      </c>
      <c r="S93" s="83">
        <v>206064</v>
      </c>
    </row>
    <row r="94" spans="1:19" s="27" customFormat="1" x14ac:dyDescent="0.2">
      <c r="A94" s="85" t="s">
        <v>155</v>
      </c>
      <c r="B94" s="83">
        <v>0</v>
      </c>
      <c r="C94" s="83">
        <v>0</v>
      </c>
      <c r="D94" s="83">
        <v>70546</v>
      </c>
      <c r="E94" s="83">
        <v>0</v>
      </c>
      <c r="F94" s="83">
        <v>8132.9999999999991</v>
      </c>
      <c r="G94" s="83">
        <v>0</v>
      </c>
      <c r="H94" s="83">
        <v>0</v>
      </c>
      <c r="I94" s="83">
        <v>0</v>
      </c>
      <c r="J94" s="83">
        <v>0</v>
      </c>
      <c r="K94" s="83">
        <v>0</v>
      </c>
      <c r="L94" s="83">
        <v>21008</v>
      </c>
      <c r="M94" s="83">
        <v>0</v>
      </c>
      <c r="N94" s="83">
        <v>164</v>
      </c>
      <c r="O94" s="83">
        <v>0</v>
      </c>
      <c r="P94" s="83">
        <v>0</v>
      </c>
      <c r="Q94" s="83">
        <v>0</v>
      </c>
      <c r="R94" s="83">
        <v>0</v>
      </c>
      <c r="S94" s="83">
        <v>99851</v>
      </c>
    </row>
    <row r="95" spans="1:19" s="27" customFormat="1" x14ac:dyDescent="0.2">
      <c r="A95" s="84" t="s">
        <v>22</v>
      </c>
      <c r="B95" s="82">
        <v>0</v>
      </c>
      <c r="C95" s="82">
        <v>0</v>
      </c>
      <c r="D95" s="82">
        <v>0</v>
      </c>
      <c r="E95" s="82">
        <v>1200148.1248148503</v>
      </c>
      <c r="F95" s="82">
        <v>0</v>
      </c>
      <c r="G95" s="82">
        <v>18737.464981486548</v>
      </c>
      <c r="H95" s="82">
        <v>0</v>
      </c>
      <c r="I95" s="82">
        <v>539812.80875563936</v>
      </c>
      <c r="J95" s="82">
        <v>0</v>
      </c>
      <c r="K95" s="82">
        <v>0</v>
      </c>
      <c r="L95" s="82">
        <v>0</v>
      </c>
      <c r="M95" s="82">
        <v>0</v>
      </c>
      <c r="N95" s="82">
        <v>0</v>
      </c>
      <c r="O95" s="82">
        <v>0</v>
      </c>
      <c r="P95" s="82">
        <v>0</v>
      </c>
      <c r="Q95" s="82">
        <v>907033.91427143104</v>
      </c>
      <c r="R95" s="82">
        <v>0</v>
      </c>
      <c r="S95" s="82">
        <v>2665732.3128234074</v>
      </c>
    </row>
    <row r="96" spans="1:19" s="27" customFormat="1" x14ac:dyDescent="0.2">
      <c r="A96" s="85" t="s">
        <v>153</v>
      </c>
      <c r="B96" s="83">
        <v>0</v>
      </c>
      <c r="C96" s="83">
        <v>0</v>
      </c>
      <c r="D96" s="83">
        <v>0</v>
      </c>
      <c r="E96" s="79">
        <v>377901.26945450361</v>
      </c>
      <c r="F96" s="83">
        <v>0</v>
      </c>
      <c r="G96" s="79">
        <v>6171.7231959157079</v>
      </c>
      <c r="H96" s="83">
        <v>0</v>
      </c>
      <c r="I96" s="79">
        <v>167623.19411255969</v>
      </c>
      <c r="J96" s="83">
        <v>0</v>
      </c>
      <c r="K96" s="83">
        <v>0</v>
      </c>
      <c r="L96" s="83">
        <v>0</v>
      </c>
      <c r="M96" s="83">
        <v>0</v>
      </c>
      <c r="N96" s="83">
        <v>0</v>
      </c>
      <c r="O96" s="83">
        <v>0</v>
      </c>
      <c r="P96" s="83">
        <v>0</v>
      </c>
      <c r="Q96" s="79">
        <v>288975.63912455982</v>
      </c>
      <c r="R96" s="83">
        <v>0</v>
      </c>
      <c r="S96" s="83">
        <v>840671.82588753896</v>
      </c>
    </row>
    <row r="97" spans="1:19" s="27" customFormat="1" x14ac:dyDescent="0.2">
      <c r="A97" s="85" t="s">
        <v>154</v>
      </c>
      <c r="B97" s="83">
        <v>0</v>
      </c>
      <c r="C97" s="83">
        <v>0</v>
      </c>
      <c r="D97" s="83">
        <v>0</v>
      </c>
      <c r="E97" s="79">
        <v>530354.44076233264</v>
      </c>
      <c r="F97" s="83">
        <v>0</v>
      </c>
      <c r="G97" s="79">
        <v>8185.9937305332214</v>
      </c>
      <c r="H97" s="83">
        <v>0</v>
      </c>
      <c r="I97" s="79">
        <v>228932.23132586692</v>
      </c>
      <c r="J97" s="83">
        <v>0</v>
      </c>
      <c r="K97" s="83">
        <v>0</v>
      </c>
      <c r="L97" s="83">
        <v>0</v>
      </c>
      <c r="M97" s="83">
        <v>0</v>
      </c>
      <c r="N97" s="83">
        <v>0</v>
      </c>
      <c r="O97" s="83">
        <v>0</v>
      </c>
      <c r="P97" s="83">
        <v>0</v>
      </c>
      <c r="Q97" s="79">
        <v>407589.57969067059</v>
      </c>
      <c r="R97" s="83">
        <v>0</v>
      </c>
      <c r="S97" s="83">
        <v>1175062.2455094035</v>
      </c>
    </row>
    <row r="98" spans="1:19" s="27" customFormat="1" x14ac:dyDescent="0.2">
      <c r="A98" s="85" t="s">
        <v>155</v>
      </c>
      <c r="B98" s="83">
        <v>0</v>
      </c>
      <c r="C98" s="83">
        <v>0</v>
      </c>
      <c r="D98" s="83">
        <v>0</v>
      </c>
      <c r="E98" s="79">
        <v>291892.41459801415</v>
      </c>
      <c r="F98" s="83">
        <v>0</v>
      </c>
      <c r="G98" s="79">
        <v>4379.7480550376176</v>
      </c>
      <c r="H98" s="83">
        <v>0</v>
      </c>
      <c r="I98" s="79">
        <v>143257.38331721275</v>
      </c>
      <c r="J98" s="83">
        <v>0</v>
      </c>
      <c r="K98" s="83">
        <v>0</v>
      </c>
      <c r="L98" s="83">
        <v>0</v>
      </c>
      <c r="M98" s="83">
        <v>0</v>
      </c>
      <c r="N98" s="83">
        <v>0</v>
      </c>
      <c r="O98" s="83">
        <v>0</v>
      </c>
      <c r="P98" s="83">
        <v>0</v>
      </c>
      <c r="Q98" s="79">
        <v>210468.69545620069</v>
      </c>
      <c r="R98" s="83">
        <v>0</v>
      </c>
      <c r="S98" s="83">
        <v>649998.24142646522</v>
      </c>
    </row>
    <row r="99" spans="1:19" s="27" customFormat="1" x14ac:dyDescent="0.2">
      <c r="A99" s="84" t="s">
        <v>149</v>
      </c>
      <c r="B99" s="82">
        <v>0</v>
      </c>
      <c r="C99" s="82">
        <v>385719</v>
      </c>
      <c r="D99" s="82">
        <v>0</v>
      </c>
      <c r="E99" s="82">
        <v>0</v>
      </c>
      <c r="F99" s="82">
        <v>0</v>
      </c>
      <c r="G99" s="82">
        <v>0</v>
      </c>
      <c r="H99" s="82">
        <v>0</v>
      </c>
      <c r="I99" s="82">
        <v>0</v>
      </c>
      <c r="J99" s="82">
        <v>0</v>
      </c>
      <c r="K99" s="82">
        <v>0</v>
      </c>
      <c r="L99" s="82">
        <v>0</v>
      </c>
      <c r="M99" s="82">
        <v>0</v>
      </c>
      <c r="N99" s="82">
        <v>0</v>
      </c>
      <c r="O99" s="82">
        <v>54821</v>
      </c>
      <c r="P99" s="82">
        <v>0</v>
      </c>
      <c r="Q99" s="82">
        <v>0</v>
      </c>
      <c r="R99" s="82">
        <v>65621</v>
      </c>
      <c r="S99" s="82">
        <v>506161.00000000006</v>
      </c>
    </row>
    <row r="100" spans="1:19" s="27" customFormat="1" x14ac:dyDescent="0.2">
      <c r="A100" s="85" t="s">
        <v>153</v>
      </c>
      <c r="B100" s="83">
        <v>0</v>
      </c>
      <c r="C100" s="79">
        <v>136241</v>
      </c>
      <c r="D100" s="83">
        <v>0</v>
      </c>
      <c r="E100" s="83">
        <v>0</v>
      </c>
      <c r="F100" s="83">
        <v>0</v>
      </c>
      <c r="G100" s="83">
        <v>0</v>
      </c>
      <c r="H100" s="83">
        <v>0</v>
      </c>
      <c r="I100" s="83">
        <v>0</v>
      </c>
      <c r="J100" s="83">
        <v>0</v>
      </c>
      <c r="K100" s="83">
        <v>0</v>
      </c>
      <c r="L100" s="83">
        <v>0</v>
      </c>
      <c r="M100" s="83">
        <v>0</v>
      </c>
      <c r="N100" s="83">
        <v>0</v>
      </c>
      <c r="O100" s="79">
        <v>19246</v>
      </c>
      <c r="P100" s="83">
        <v>0</v>
      </c>
      <c r="Q100" s="83">
        <v>0</v>
      </c>
      <c r="R100" s="79">
        <v>21808</v>
      </c>
      <c r="S100" s="83">
        <v>177295.00000000003</v>
      </c>
    </row>
    <row r="101" spans="1:19" s="27" customFormat="1" x14ac:dyDescent="0.2">
      <c r="A101" s="85" t="s">
        <v>154</v>
      </c>
      <c r="B101" s="83">
        <v>0</v>
      </c>
      <c r="C101" s="79">
        <v>177418</v>
      </c>
      <c r="D101" s="83">
        <v>0</v>
      </c>
      <c r="E101" s="83">
        <v>0</v>
      </c>
      <c r="F101" s="83">
        <v>0</v>
      </c>
      <c r="G101" s="83">
        <v>0</v>
      </c>
      <c r="H101" s="83">
        <v>0</v>
      </c>
      <c r="I101" s="83">
        <v>0</v>
      </c>
      <c r="J101" s="83">
        <v>0</v>
      </c>
      <c r="K101" s="83">
        <v>0</v>
      </c>
      <c r="L101" s="83">
        <v>0</v>
      </c>
      <c r="M101" s="83">
        <v>0</v>
      </c>
      <c r="N101" s="83">
        <v>0</v>
      </c>
      <c r="O101" s="79">
        <v>25577</v>
      </c>
      <c r="P101" s="83">
        <v>0</v>
      </c>
      <c r="Q101" s="83">
        <v>0</v>
      </c>
      <c r="R101" s="79">
        <v>30591</v>
      </c>
      <c r="S101" s="83">
        <v>233586</v>
      </c>
    </row>
    <row r="102" spans="1:19" s="27" customFormat="1" x14ac:dyDescent="0.2">
      <c r="A102" s="85" t="s">
        <v>155</v>
      </c>
      <c r="B102" s="83">
        <v>0</v>
      </c>
      <c r="C102" s="79">
        <v>72060</v>
      </c>
      <c r="D102" s="83">
        <v>0</v>
      </c>
      <c r="E102" s="83">
        <v>0</v>
      </c>
      <c r="F102" s="83">
        <v>0</v>
      </c>
      <c r="G102" s="83">
        <v>0</v>
      </c>
      <c r="H102" s="83">
        <v>0</v>
      </c>
      <c r="I102" s="83">
        <v>0</v>
      </c>
      <c r="J102" s="83">
        <v>0</v>
      </c>
      <c r="K102" s="83">
        <v>0</v>
      </c>
      <c r="L102" s="83">
        <v>0</v>
      </c>
      <c r="M102" s="83">
        <v>0</v>
      </c>
      <c r="N102" s="83">
        <v>0</v>
      </c>
      <c r="O102" s="79">
        <v>9998</v>
      </c>
      <c r="P102" s="83">
        <v>0</v>
      </c>
      <c r="Q102" s="83">
        <v>0</v>
      </c>
      <c r="R102" s="79">
        <v>13222</v>
      </c>
      <c r="S102" s="83">
        <v>95280</v>
      </c>
    </row>
    <row r="103" spans="1:19" s="27" customFormat="1" x14ac:dyDescent="0.2">
      <c r="A103" s="84" t="s">
        <v>151</v>
      </c>
      <c r="B103" s="82">
        <v>174370.96802135539</v>
      </c>
      <c r="C103" s="82">
        <v>0</v>
      </c>
      <c r="D103" s="82">
        <v>0</v>
      </c>
      <c r="E103" s="82">
        <v>134148.86482035773</v>
      </c>
      <c r="F103" s="82">
        <v>0</v>
      </c>
      <c r="G103" s="82">
        <v>0</v>
      </c>
      <c r="H103" s="82">
        <v>65392.217127248317</v>
      </c>
      <c r="I103" s="82">
        <v>0</v>
      </c>
      <c r="J103" s="82">
        <v>0</v>
      </c>
      <c r="K103" s="82">
        <v>0</v>
      </c>
      <c r="L103" s="82">
        <v>0</v>
      </c>
      <c r="M103" s="82">
        <v>0</v>
      </c>
      <c r="N103" s="82">
        <v>0</v>
      </c>
      <c r="O103" s="82">
        <v>0</v>
      </c>
      <c r="P103" s="82">
        <v>0</v>
      </c>
      <c r="Q103" s="82">
        <v>0</v>
      </c>
      <c r="R103" s="82">
        <v>0</v>
      </c>
      <c r="S103" s="82">
        <v>373912.04996896139</v>
      </c>
    </row>
    <row r="104" spans="1:19" s="27" customFormat="1" x14ac:dyDescent="0.2">
      <c r="A104" s="85" t="s">
        <v>153</v>
      </c>
      <c r="B104" s="79">
        <v>57459.178112010472</v>
      </c>
      <c r="C104" s="83">
        <v>0</v>
      </c>
      <c r="D104" s="83">
        <v>0</v>
      </c>
      <c r="E104" s="79">
        <v>42598.436567048178</v>
      </c>
      <c r="F104" s="83">
        <v>0</v>
      </c>
      <c r="G104" s="83">
        <v>0</v>
      </c>
      <c r="H104" s="79">
        <v>22341.964035343801</v>
      </c>
      <c r="I104" s="83">
        <v>0</v>
      </c>
      <c r="J104" s="83">
        <v>0</v>
      </c>
      <c r="K104" s="83">
        <v>0</v>
      </c>
      <c r="L104" s="83">
        <v>0</v>
      </c>
      <c r="M104" s="83">
        <v>0</v>
      </c>
      <c r="N104" s="83">
        <v>0</v>
      </c>
      <c r="O104" s="83">
        <v>0</v>
      </c>
      <c r="P104" s="83">
        <v>0</v>
      </c>
      <c r="Q104" s="83">
        <v>0</v>
      </c>
      <c r="R104" s="83">
        <v>0</v>
      </c>
      <c r="S104" s="83">
        <v>122399.57871440245</v>
      </c>
    </row>
    <row r="105" spans="1:19" s="27" customFormat="1" x14ac:dyDescent="0.2">
      <c r="A105" s="85" t="s">
        <v>154</v>
      </c>
      <c r="B105" s="79">
        <v>80723.515199853413</v>
      </c>
      <c r="C105" s="83">
        <v>0</v>
      </c>
      <c r="D105" s="83">
        <v>0</v>
      </c>
      <c r="E105" s="79">
        <v>61252.119820773551</v>
      </c>
      <c r="F105" s="83">
        <v>0</v>
      </c>
      <c r="G105" s="83">
        <v>0</v>
      </c>
      <c r="H105" s="79">
        <v>30687.085123248897</v>
      </c>
      <c r="I105" s="83">
        <v>0</v>
      </c>
      <c r="J105" s="83">
        <v>0</v>
      </c>
      <c r="K105" s="83">
        <v>0</v>
      </c>
      <c r="L105" s="83">
        <v>0</v>
      </c>
      <c r="M105" s="83">
        <v>0</v>
      </c>
      <c r="N105" s="83">
        <v>0</v>
      </c>
      <c r="O105" s="83">
        <v>0</v>
      </c>
      <c r="P105" s="83">
        <v>0</v>
      </c>
      <c r="Q105" s="83">
        <v>0</v>
      </c>
      <c r="R105" s="83">
        <v>0</v>
      </c>
      <c r="S105" s="83">
        <v>172662.72014387583</v>
      </c>
    </row>
    <row r="106" spans="1:19" s="27" customFormat="1" x14ac:dyDescent="0.2">
      <c r="A106" s="85" t="s">
        <v>155</v>
      </c>
      <c r="B106" s="79">
        <v>36188.274709491518</v>
      </c>
      <c r="C106" s="83">
        <v>0</v>
      </c>
      <c r="D106" s="83">
        <v>0</v>
      </c>
      <c r="E106" s="79">
        <v>30298.308432536007</v>
      </c>
      <c r="F106" s="83">
        <v>0</v>
      </c>
      <c r="G106" s="83">
        <v>0</v>
      </c>
      <c r="H106" s="79">
        <v>12363.167968655622</v>
      </c>
      <c r="I106" s="83">
        <v>0</v>
      </c>
      <c r="J106" s="83">
        <v>0</v>
      </c>
      <c r="K106" s="83">
        <v>0</v>
      </c>
      <c r="L106" s="83">
        <v>0</v>
      </c>
      <c r="M106" s="83">
        <v>0</v>
      </c>
      <c r="N106" s="83">
        <v>0</v>
      </c>
      <c r="O106" s="83">
        <v>0</v>
      </c>
      <c r="P106" s="83">
        <v>0</v>
      </c>
      <c r="Q106" s="83">
        <v>0</v>
      </c>
      <c r="R106" s="83">
        <v>0</v>
      </c>
      <c r="S106" s="83">
        <v>78849.751110683137</v>
      </c>
    </row>
    <row r="107" spans="1:19" s="27" customFormat="1" x14ac:dyDescent="0.2">
      <c r="A107" s="84" t="s">
        <v>152</v>
      </c>
      <c r="B107" s="82">
        <v>11505.232483443991</v>
      </c>
      <c r="C107" s="82">
        <v>0</v>
      </c>
      <c r="D107" s="82">
        <v>0</v>
      </c>
      <c r="E107" s="82">
        <v>26943.730809827</v>
      </c>
      <c r="F107" s="82">
        <v>0</v>
      </c>
      <c r="G107" s="82">
        <v>0</v>
      </c>
      <c r="H107" s="82">
        <v>8538.2505440554305</v>
      </c>
      <c r="I107" s="82">
        <v>0</v>
      </c>
      <c r="J107" s="82">
        <v>0</v>
      </c>
      <c r="K107" s="82">
        <v>0</v>
      </c>
      <c r="L107" s="82">
        <v>0</v>
      </c>
      <c r="M107" s="82">
        <v>0</v>
      </c>
      <c r="N107" s="82">
        <v>0</v>
      </c>
      <c r="O107" s="82">
        <v>0</v>
      </c>
      <c r="P107" s="82">
        <v>0</v>
      </c>
      <c r="Q107" s="82">
        <v>0</v>
      </c>
      <c r="R107" s="82">
        <v>0</v>
      </c>
      <c r="S107" s="82">
        <v>46987.213837326424</v>
      </c>
    </row>
    <row r="108" spans="1:19" s="27" customFormat="1" x14ac:dyDescent="0.2">
      <c r="A108" s="85" t="s">
        <v>153</v>
      </c>
      <c r="B108" s="79">
        <v>3581.3843179477772</v>
      </c>
      <c r="C108" s="83">
        <v>0</v>
      </c>
      <c r="D108" s="83">
        <v>0</v>
      </c>
      <c r="E108" s="79">
        <v>8280.2894014237736</v>
      </c>
      <c r="F108" s="83">
        <v>0</v>
      </c>
      <c r="G108" s="83">
        <v>0</v>
      </c>
      <c r="H108" s="79">
        <v>2375.5755545757643</v>
      </c>
      <c r="I108" s="83">
        <v>0</v>
      </c>
      <c r="J108" s="83">
        <v>0</v>
      </c>
      <c r="K108" s="83">
        <v>0</v>
      </c>
      <c r="L108" s="83">
        <v>0</v>
      </c>
      <c r="M108" s="83">
        <v>0</v>
      </c>
      <c r="N108" s="83">
        <v>0</v>
      </c>
      <c r="O108" s="83">
        <v>0</v>
      </c>
      <c r="P108" s="83">
        <v>0</v>
      </c>
      <c r="Q108" s="83">
        <v>0</v>
      </c>
      <c r="R108" s="83">
        <v>0</v>
      </c>
      <c r="S108" s="83">
        <v>14237.249273947316</v>
      </c>
    </row>
    <row r="109" spans="1:19" s="27" customFormat="1" x14ac:dyDescent="0.2">
      <c r="A109" s="85" t="s">
        <v>154</v>
      </c>
      <c r="B109" s="79">
        <v>5702.3109637450407</v>
      </c>
      <c r="C109" s="83">
        <v>0</v>
      </c>
      <c r="D109" s="83">
        <v>0</v>
      </c>
      <c r="E109" s="79">
        <v>13369.35576319694</v>
      </c>
      <c r="F109" s="83">
        <v>0</v>
      </c>
      <c r="G109" s="83">
        <v>0</v>
      </c>
      <c r="H109" s="79">
        <v>4314.8305136873023</v>
      </c>
      <c r="I109" s="83">
        <v>0</v>
      </c>
      <c r="J109" s="83">
        <v>0</v>
      </c>
      <c r="K109" s="83">
        <v>0</v>
      </c>
      <c r="L109" s="83">
        <v>0</v>
      </c>
      <c r="M109" s="83">
        <v>0</v>
      </c>
      <c r="N109" s="83">
        <v>0</v>
      </c>
      <c r="O109" s="83">
        <v>0</v>
      </c>
      <c r="P109" s="83">
        <v>0</v>
      </c>
      <c r="Q109" s="83">
        <v>0</v>
      </c>
      <c r="R109" s="83">
        <v>0</v>
      </c>
      <c r="S109" s="83">
        <v>23386.497240629284</v>
      </c>
    </row>
    <row r="110" spans="1:19" s="27" customFormat="1" x14ac:dyDescent="0.2">
      <c r="A110" s="85" t="s">
        <v>155</v>
      </c>
      <c r="B110" s="79">
        <v>2221.5372017511736</v>
      </c>
      <c r="C110" s="83">
        <v>0</v>
      </c>
      <c r="D110" s="83">
        <v>0</v>
      </c>
      <c r="E110" s="79">
        <v>5294.0856452062862</v>
      </c>
      <c r="F110" s="83">
        <v>0</v>
      </c>
      <c r="G110" s="83">
        <v>0</v>
      </c>
      <c r="H110" s="79">
        <v>1847.8444757923639</v>
      </c>
      <c r="I110" s="83">
        <v>0</v>
      </c>
      <c r="J110" s="83">
        <v>0</v>
      </c>
      <c r="K110" s="83">
        <v>0</v>
      </c>
      <c r="L110" s="83">
        <v>0</v>
      </c>
      <c r="M110" s="83">
        <v>0</v>
      </c>
      <c r="N110" s="83">
        <v>0</v>
      </c>
      <c r="O110" s="83">
        <v>0</v>
      </c>
      <c r="P110" s="83">
        <v>0</v>
      </c>
      <c r="Q110" s="83">
        <v>0</v>
      </c>
      <c r="R110" s="83">
        <v>0</v>
      </c>
      <c r="S110" s="83">
        <v>9363.4673227498224</v>
      </c>
    </row>
    <row r="111" spans="1:19" s="27" customFormat="1" x14ac:dyDescent="0.2">
      <c r="A111" s="84" t="s">
        <v>23</v>
      </c>
      <c r="B111" s="82">
        <v>0</v>
      </c>
      <c r="C111" s="82">
        <v>344491</v>
      </c>
      <c r="D111" s="82">
        <v>0</v>
      </c>
      <c r="E111" s="82">
        <v>3680</v>
      </c>
      <c r="F111" s="82">
        <v>0</v>
      </c>
      <c r="G111" s="82">
        <v>0</v>
      </c>
      <c r="H111" s="82">
        <v>0</v>
      </c>
      <c r="I111" s="82">
        <v>0</v>
      </c>
      <c r="J111" s="82">
        <v>19557</v>
      </c>
      <c r="K111" s="82">
        <v>0</v>
      </c>
      <c r="L111" s="82">
        <v>0</v>
      </c>
      <c r="M111" s="82">
        <v>0</v>
      </c>
      <c r="N111" s="82">
        <v>0</v>
      </c>
      <c r="O111" s="82">
        <v>983518</v>
      </c>
      <c r="P111" s="82">
        <v>0</v>
      </c>
      <c r="Q111" s="82">
        <v>35343</v>
      </c>
      <c r="R111" s="82">
        <v>470337.99999999994</v>
      </c>
      <c r="S111" s="82">
        <v>1856927</v>
      </c>
    </row>
    <row r="112" spans="1:19" s="27" customFormat="1" x14ac:dyDescent="0.2">
      <c r="A112" s="85" t="s">
        <v>153</v>
      </c>
      <c r="B112" s="83">
        <v>0</v>
      </c>
      <c r="C112" s="79">
        <v>109858</v>
      </c>
      <c r="D112" s="83">
        <v>0</v>
      </c>
      <c r="E112" s="79">
        <v>1206</v>
      </c>
      <c r="F112" s="83">
        <v>0</v>
      </c>
      <c r="G112" s="83">
        <v>0</v>
      </c>
      <c r="H112" s="83">
        <v>0</v>
      </c>
      <c r="I112" s="83">
        <v>0</v>
      </c>
      <c r="J112" s="79">
        <v>5878</v>
      </c>
      <c r="K112" s="83">
        <v>0</v>
      </c>
      <c r="L112" s="83">
        <v>0</v>
      </c>
      <c r="M112" s="83">
        <v>0</v>
      </c>
      <c r="N112" s="83">
        <v>0</v>
      </c>
      <c r="O112" s="79">
        <v>321292</v>
      </c>
      <c r="P112" s="83">
        <v>0</v>
      </c>
      <c r="Q112" s="79">
        <v>11582</v>
      </c>
      <c r="R112" s="79">
        <v>143618</v>
      </c>
      <c r="S112" s="83">
        <v>593434</v>
      </c>
    </row>
    <row r="113" spans="1:19" s="27" customFormat="1" x14ac:dyDescent="0.2">
      <c r="A113" s="85" t="s">
        <v>154</v>
      </c>
      <c r="B113" s="83">
        <v>0</v>
      </c>
      <c r="C113" s="79">
        <v>157970</v>
      </c>
      <c r="D113" s="83">
        <v>0</v>
      </c>
      <c r="E113" s="79">
        <v>1550</v>
      </c>
      <c r="F113" s="83">
        <v>0</v>
      </c>
      <c r="G113" s="83">
        <v>0</v>
      </c>
      <c r="H113" s="83">
        <v>0</v>
      </c>
      <c r="I113" s="83">
        <v>0</v>
      </c>
      <c r="J113" s="79">
        <v>8658</v>
      </c>
      <c r="K113" s="83">
        <v>0</v>
      </c>
      <c r="L113" s="83">
        <v>0</v>
      </c>
      <c r="M113" s="83">
        <v>0</v>
      </c>
      <c r="N113" s="83">
        <v>0</v>
      </c>
      <c r="O113" s="79">
        <v>450072</v>
      </c>
      <c r="P113" s="83">
        <v>0</v>
      </c>
      <c r="Q113" s="79">
        <v>14890</v>
      </c>
      <c r="R113" s="79">
        <v>212479</v>
      </c>
      <c r="S113" s="83">
        <v>845619</v>
      </c>
    </row>
    <row r="114" spans="1:19" s="27" customFormat="1" x14ac:dyDescent="0.2">
      <c r="A114" s="85" t="s">
        <v>155</v>
      </c>
      <c r="B114" s="83">
        <v>0</v>
      </c>
      <c r="C114" s="79">
        <v>76663</v>
      </c>
      <c r="D114" s="83">
        <v>0</v>
      </c>
      <c r="E114" s="79">
        <v>924</v>
      </c>
      <c r="F114" s="83">
        <v>0</v>
      </c>
      <c r="G114" s="83">
        <v>0</v>
      </c>
      <c r="H114" s="83">
        <v>0</v>
      </c>
      <c r="I114" s="83">
        <v>0</v>
      </c>
      <c r="J114" s="79">
        <v>5021</v>
      </c>
      <c r="K114" s="83">
        <v>0</v>
      </c>
      <c r="L114" s="83">
        <v>0</v>
      </c>
      <c r="M114" s="83">
        <v>0</v>
      </c>
      <c r="N114" s="83">
        <v>0</v>
      </c>
      <c r="O114" s="79">
        <v>212154</v>
      </c>
      <c r="P114" s="83">
        <v>0</v>
      </c>
      <c r="Q114" s="79">
        <v>8871</v>
      </c>
      <c r="R114" s="79">
        <v>114241</v>
      </c>
      <c r="S114" s="83">
        <v>417873.99999999994</v>
      </c>
    </row>
    <row r="115" spans="1:19" x14ac:dyDescent="0.2">
      <c r="A115" s="74" t="s">
        <v>164</v>
      </c>
      <c r="B115" s="78">
        <v>185876.20050479937</v>
      </c>
      <c r="C115" s="78">
        <v>765822.58974905743</v>
      </c>
      <c r="D115" s="78">
        <v>352667</v>
      </c>
      <c r="E115" s="78">
        <v>3545073.9511347176</v>
      </c>
      <c r="F115" s="78">
        <v>157912</v>
      </c>
      <c r="G115" s="78">
        <v>22791.167301486545</v>
      </c>
      <c r="H115" s="78">
        <v>171602.63826130371</v>
      </c>
      <c r="I115" s="78">
        <v>539812.80875563936</v>
      </c>
      <c r="J115" s="78">
        <v>19557</v>
      </c>
      <c r="K115" s="78">
        <v>8924872</v>
      </c>
      <c r="L115" s="78">
        <v>1034429.9999999999</v>
      </c>
      <c r="M115" s="78">
        <v>284730</v>
      </c>
      <c r="N115" s="78">
        <v>21869731.999999996</v>
      </c>
      <c r="O115" s="78">
        <v>1048472.4900000001</v>
      </c>
      <c r="P115" s="78">
        <v>9421845</v>
      </c>
      <c r="Q115" s="78">
        <v>1321860.9965790666</v>
      </c>
      <c r="R115" s="78">
        <v>561906.50200000009</v>
      </c>
      <c r="S115" s="78">
        <v>50228964.344286062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B1:BG124"/>
  <sheetViews>
    <sheetView showGridLines="0" tabSelected="1" topLeftCell="R1" zoomScale="60" zoomScaleNormal="60" workbookViewId="0">
      <selection activeCell="U141" sqref="U141"/>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8" width="11.42578125" style="18" customWidth="1"/>
    <col min="19" max="19" width="23.5703125" style="18" customWidth="1"/>
    <col min="20" max="20" width="21.7109375" style="18" customWidth="1"/>
    <col min="21" max="21" width="17.42578125" style="18" bestFit="1" customWidth="1"/>
    <col min="22" max="22" width="15.28515625" style="18" customWidth="1"/>
    <col min="23" max="24" width="16.85546875" style="18" bestFit="1" customWidth="1"/>
    <col min="25" max="26" width="18" style="18" bestFit="1" customWidth="1"/>
    <col min="27" max="27" width="18.85546875" style="18" customWidth="1"/>
    <col min="28" max="29" width="11.42578125" style="18"/>
    <col min="30" max="30" width="23.5703125" style="18" bestFit="1" customWidth="1"/>
    <col min="31" max="31" width="21.7109375" style="18" bestFit="1" customWidth="1"/>
    <col min="32" max="32" width="13.5703125" style="18" bestFit="1" customWidth="1"/>
    <col min="33" max="33" width="12" style="18" bestFit="1" customWidth="1"/>
    <col min="34" max="35" width="13.140625" style="18" bestFit="1" customWidth="1"/>
    <col min="36" max="36" width="13" style="18" bestFit="1" customWidth="1"/>
    <col min="37" max="37" width="13.140625" style="18" bestFit="1" customWidth="1"/>
    <col min="38" max="38" width="18.85546875" style="18" customWidth="1"/>
    <col min="39" max="50" width="11.42578125" style="18"/>
    <col min="51" max="51" width="23.5703125" style="18" bestFit="1" customWidth="1"/>
    <col min="52" max="52" width="21.7109375" style="18" bestFit="1" customWidth="1"/>
    <col min="53" max="53" width="13.5703125" style="18" bestFit="1" customWidth="1"/>
    <col min="54" max="54" width="12" style="18" bestFit="1" customWidth="1"/>
    <col min="55" max="55" width="13.85546875" style="18" bestFit="1" customWidth="1"/>
    <col min="56" max="56" width="14.7109375" style="18" bestFit="1" customWidth="1"/>
    <col min="57" max="57" width="13.85546875" style="18" bestFit="1" customWidth="1"/>
    <col min="58" max="58" width="12" style="18" bestFit="1" customWidth="1"/>
    <col min="59" max="59" width="18.85546875" style="18" bestFit="1" customWidth="1"/>
    <col min="60" max="16384" width="11.42578125" style="18"/>
  </cols>
  <sheetData>
    <row r="1" spans="2:59" x14ac:dyDescent="0.25">
      <c r="M1" s="18"/>
      <c r="V1" s="18">
        <v>1000</v>
      </c>
      <c r="Z1" s="58">
        <f>SUM(W2:Y2)</f>
        <v>3245763.0207463303</v>
      </c>
    </row>
    <row r="2" spans="2:59" x14ac:dyDescent="0.25">
      <c r="B2" s="17" t="s">
        <v>122</v>
      </c>
      <c r="M2" s="18"/>
      <c r="U2" s="57">
        <f t="shared" ref="U2:Z2" si="0">SUM(U8:U124)</f>
        <v>100.16257131796792</v>
      </c>
      <c r="V2" s="58">
        <f t="shared" si="0"/>
        <v>50198.175170477356</v>
      </c>
      <c r="W2" s="58">
        <f t="shared" si="0"/>
        <v>554952.57842444326</v>
      </c>
      <c r="X2" s="58">
        <f t="shared" si="0"/>
        <v>2689948.9182568169</v>
      </c>
      <c r="Y2" s="58">
        <f t="shared" si="0"/>
        <v>861.52406507044441</v>
      </c>
      <c r="Z2" s="58">
        <f t="shared" si="0"/>
        <v>3244901.4966812604</v>
      </c>
      <c r="AA2" s="58">
        <f>Z1-Z2</f>
        <v>861.52406506985426</v>
      </c>
      <c r="AU2" s="70">
        <f>+SUM(AU8:AU124)</f>
        <v>14027.116959396617</v>
      </c>
    </row>
    <row r="3" spans="2:59" x14ac:dyDescent="0.25">
      <c r="B3" s="17" t="s">
        <v>121</v>
      </c>
      <c r="M3" s="18"/>
    </row>
    <row r="4" spans="2:59" x14ac:dyDescent="0.25">
      <c r="B4" s="17" t="s">
        <v>123</v>
      </c>
      <c r="K4" s="46" t="s">
        <v>142</v>
      </c>
      <c r="L4" s="46"/>
      <c r="M4" s="18"/>
      <c r="S4" s="46" t="s">
        <v>141</v>
      </c>
      <c r="T4" s="46"/>
      <c r="AD4" s="46" t="s">
        <v>159</v>
      </c>
      <c r="AE4" s="46"/>
      <c r="AO4" s="46" t="s">
        <v>160</v>
      </c>
      <c r="AP4" s="46"/>
      <c r="AY4" s="18" t="s">
        <v>161</v>
      </c>
    </row>
    <row r="5" spans="2:59" x14ac:dyDescent="0.25">
      <c r="K5" s="19">
        <v>42948</v>
      </c>
      <c r="L5" s="20"/>
      <c r="M5" s="54"/>
      <c r="N5" s="55"/>
      <c r="O5" s="22"/>
      <c r="P5" s="21"/>
      <c r="S5" s="19">
        <f>+K5</f>
        <v>42948</v>
      </c>
      <c r="T5" s="20"/>
      <c r="U5" s="20"/>
      <c r="V5" s="21"/>
      <c r="W5" s="20"/>
      <c r="X5" s="20"/>
      <c r="Y5" s="20"/>
      <c r="Z5" s="22"/>
      <c r="AA5" s="21"/>
      <c r="AD5" s="19">
        <f>+K5</f>
        <v>42948</v>
      </c>
      <c r="AE5" s="20"/>
      <c r="AF5" s="20"/>
      <c r="AG5" s="21"/>
      <c r="AH5" s="20"/>
      <c r="AI5" s="20"/>
      <c r="AJ5" s="20"/>
      <c r="AK5" s="22"/>
      <c r="AL5" s="21"/>
      <c r="AO5" s="19">
        <f>+AD5</f>
        <v>42948</v>
      </c>
      <c r="AP5" s="20"/>
      <c r="AQ5" s="20"/>
      <c r="AR5" s="21"/>
      <c r="AS5" s="20"/>
      <c r="AT5" s="20"/>
      <c r="AU5" s="22"/>
      <c r="AV5" s="21"/>
      <c r="AY5" s="19">
        <f>+AO5</f>
        <v>42948</v>
      </c>
      <c r="AZ5" s="20"/>
      <c r="BA5" s="20"/>
      <c r="BB5" s="21"/>
      <c r="BC5" s="20"/>
      <c r="BD5" s="20"/>
      <c r="BE5" s="20"/>
      <c r="BF5" s="22"/>
      <c r="BG5" s="21"/>
    </row>
    <row r="6" spans="2:59" x14ac:dyDescent="0.25">
      <c r="B6" s="23" t="s">
        <v>2</v>
      </c>
      <c r="C6" s="4" t="s">
        <v>2</v>
      </c>
      <c r="D6" s="4" t="s">
        <v>60</v>
      </c>
      <c r="E6" s="4" t="s">
        <v>61</v>
      </c>
      <c r="F6" s="53" t="s">
        <v>62</v>
      </c>
      <c r="G6" s="23" t="s">
        <v>63</v>
      </c>
      <c r="H6" s="22" t="s">
        <v>64</v>
      </c>
      <c r="I6" s="21"/>
      <c r="J6" s="23" t="s">
        <v>65</v>
      </c>
      <c r="K6" s="23" t="s">
        <v>66</v>
      </c>
      <c r="L6" s="23" t="s">
        <v>67</v>
      </c>
      <c r="M6" s="4" t="s">
        <v>68</v>
      </c>
      <c r="N6" s="4" t="s">
        <v>69</v>
      </c>
      <c r="O6" s="23" t="s">
        <v>70</v>
      </c>
      <c r="P6" s="23" t="s">
        <v>71</v>
      </c>
      <c r="S6" s="23" t="s">
        <v>66</v>
      </c>
      <c r="T6" s="23" t="s">
        <v>67</v>
      </c>
      <c r="U6" s="23" t="s">
        <v>68</v>
      </c>
      <c r="V6" s="23" t="s">
        <v>69</v>
      </c>
      <c r="W6" s="23" t="s">
        <v>138</v>
      </c>
      <c r="X6" s="23" t="s">
        <v>139</v>
      </c>
      <c r="Y6" s="23" t="s">
        <v>140</v>
      </c>
      <c r="Z6" s="23" t="s">
        <v>70</v>
      </c>
      <c r="AA6" s="23" t="s">
        <v>71</v>
      </c>
      <c r="AD6" s="23" t="s">
        <v>66</v>
      </c>
      <c r="AE6" s="23" t="s">
        <v>67</v>
      </c>
      <c r="AF6" s="23" t="s">
        <v>68</v>
      </c>
      <c r="AG6" s="23" t="s">
        <v>69</v>
      </c>
      <c r="AH6" s="23" t="s">
        <v>138</v>
      </c>
      <c r="AI6" s="23" t="s">
        <v>139</v>
      </c>
      <c r="AJ6" s="23" t="s">
        <v>140</v>
      </c>
      <c r="AK6" s="23" t="s">
        <v>70</v>
      </c>
      <c r="AL6" s="23" t="s">
        <v>71</v>
      </c>
      <c r="AO6" s="23" t="s">
        <v>66</v>
      </c>
      <c r="AP6" s="23" t="s">
        <v>67</v>
      </c>
      <c r="AQ6" s="23" t="s">
        <v>68</v>
      </c>
      <c r="AR6" s="23" t="s">
        <v>69</v>
      </c>
      <c r="AS6" s="23" t="s">
        <v>138</v>
      </c>
      <c r="AT6" s="23" t="s">
        <v>139</v>
      </c>
      <c r="AU6" s="23" t="s">
        <v>70</v>
      </c>
      <c r="AV6" s="23" t="s">
        <v>71</v>
      </c>
      <c r="AY6" s="23" t="s">
        <v>66</v>
      </c>
      <c r="AZ6" s="23" t="s">
        <v>67</v>
      </c>
      <c r="BA6" s="23" t="s">
        <v>68</v>
      </c>
      <c r="BB6" s="23" t="s">
        <v>69</v>
      </c>
      <c r="BC6" s="23" t="s">
        <v>138</v>
      </c>
      <c r="BD6" s="23" t="s">
        <v>139</v>
      </c>
      <c r="BE6" s="23" t="s">
        <v>140</v>
      </c>
      <c r="BF6" s="23" t="s">
        <v>70</v>
      </c>
      <c r="BG6" s="23" t="s">
        <v>71</v>
      </c>
    </row>
    <row r="7" spans="2:59" x14ac:dyDescent="0.25">
      <c r="B7" s="24" t="s">
        <v>73</v>
      </c>
      <c r="C7" s="6" t="s">
        <v>72</v>
      </c>
      <c r="D7" s="6" t="s">
        <v>74</v>
      </c>
      <c r="E7" s="6" t="s">
        <v>75</v>
      </c>
      <c r="F7" s="6" t="s">
        <v>162</v>
      </c>
      <c r="G7" s="24" t="s">
        <v>76</v>
      </c>
      <c r="H7" s="24" t="s">
        <v>5</v>
      </c>
      <c r="I7" s="24" t="s">
        <v>6</v>
      </c>
      <c r="J7" s="24" t="s">
        <v>77</v>
      </c>
      <c r="K7" s="24" t="s">
        <v>78</v>
      </c>
      <c r="L7" s="24" t="s">
        <v>79</v>
      </c>
      <c r="M7" s="6" t="s">
        <v>80</v>
      </c>
      <c r="N7" s="6" t="s">
        <v>81</v>
      </c>
      <c r="O7" s="24" t="s">
        <v>82</v>
      </c>
      <c r="P7" s="24" t="s">
        <v>83</v>
      </c>
      <c r="S7" s="24" t="s">
        <v>78</v>
      </c>
      <c r="T7" s="24" t="s">
        <v>79</v>
      </c>
      <c r="U7" s="24" t="s">
        <v>80</v>
      </c>
      <c r="V7" s="24" t="s">
        <v>81</v>
      </c>
      <c r="W7" s="24" t="s">
        <v>82</v>
      </c>
      <c r="X7" s="24" t="s">
        <v>82</v>
      </c>
      <c r="Y7" s="24" t="s">
        <v>82</v>
      </c>
      <c r="Z7" s="24" t="s">
        <v>82</v>
      </c>
      <c r="AA7" s="24" t="s">
        <v>83</v>
      </c>
      <c r="AD7" s="24" t="s">
        <v>78</v>
      </c>
      <c r="AE7" s="24" t="s">
        <v>79</v>
      </c>
      <c r="AF7" s="24" t="s">
        <v>80</v>
      </c>
      <c r="AG7" s="24" t="s">
        <v>81</v>
      </c>
      <c r="AH7" s="24" t="s">
        <v>82</v>
      </c>
      <c r="AI7" s="24" t="s">
        <v>82</v>
      </c>
      <c r="AJ7" s="24" t="s">
        <v>82</v>
      </c>
      <c r="AK7" s="24" t="s">
        <v>82</v>
      </c>
      <c r="AL7" s="24" t="s">
        <v>83</v>
      </c>
      <c r="AO7" s="24" t="s">
        <v>78</v>
      </c>
      <c r="AP7" s="24" t="s">
        <v>79</v>
      </c>
      <c r="AQ7" s="24" t="s">
        <v>80</v>
      </c>
      <c r="AR7" s="24" t="s">
        <v>81</v>
      </c>
      <c r="AS7" s="24" t="s">
        <v>82</v>
      </c>
      <c r="AT7" s="24" t="s">
        <v>82</v>
      </c>
      <c r="AU7" s="24" t="s">
        <v>82</v>
      </c>
      <c r="AV7" s="24" t="s">
        <v>83</v>
      </c>
      <c r="AY7" s="24" t="s">
        <v>78</v>
      </c>
      <c r="AZ7" s="24" t="s">
        <v>79</v>
      </c>
      <c r="BA7" s="24" t="s">
        <v>80</v>
      </c>
      <c r="BB7" s="24" t="s">
        <v>81</v>
      </c>
      <c r="BC7" s="24" t="s">
        <v>82</v>
      </c>
      <c r="BD7" s="24" t="s">
        <v>82</v>
      </c>
      <c r="BE7" s="24" t="s">
        <v>82</v>
      </c>
      <c r="BF7" s="24" t="s">
        <v>82</v>
      </c>
      <c r="BG7" s="24" t="s">
        <v>83</v>
      </c>
    </row>
    <row r="8" spans="2:59" hidden="1" x14ac:dyDescent="0.25">
      <c r="B8" s="43" t="s">
        <v>134</v>
      </c>
      <c r="C8" s="88" t="s">
        <v>148</v>
      </c>
      <c r="D8" s="47" t="s">
        <v>10</v>
      </c>
      <c r="E8" s="47">
        <v>220</v>
      </c>
      <c r="F8" s="47" t="s">
        <v>137</v>
      </c>
      <c r="G8" s="25" t="s">
        <v>153</v>
      </c>
      <c r="H8" s="26">
        <v>42736</v>
      </c>
      <c r="I8" s="26">
        <v>50040</v>
      </c>
      <c r="J8" s="16" t="str">
        <f>+D8</f>
        <v>Diego de Almagro 220</v>
      </c>
      <c r="K8" s="44">
        <f>+S8</f>
        <v>0</v>
      </c>
      <c r="L8" s="44">
        <f>+T8</f>
        <v>47.294993415325543</v>
      </c>
      <c r="M8" s="56">
        <f>+U8</f>
        <v>0</v>
      </c>
      <c r="N8" s="56">
        <f>+V8</f>
        <v>44.801000000000002</v>
      </c>
      <c r="O8" s="45">
        <f>+Z8</f>
        <v>2118.8629999999998</v>
      </c>
      <c r="P8" s="45">
        <f>+AA8</f>
        <v>47.294993415325543</v>
      </c>
      <c r="S8" s="48">
        <f>+IFERROR(W8/U8,0)</f>
        <v>0</v>
      </c>
      <c r="T8" s="48">
        <f>+IFERROR(X8/V8,0)</f>
        <v>47.294993415325543</v>
      </c>
      <c r="U8" s="48">
        <f>('[1]FACTURACION SEP17'!$L$10)/1000</f>
        <v>0</v>
      </c>
      <c r="V8" s="48">
        <f>('[1]FACTURACION SEP17'!$K$10)/1000</f>
        <v>44.801000000000002</v>
      </c>
      <c r="W8" s="48">
        <f>('[1]FACTURACION SEP17'!P$10)/1000</f>
        <v>0</v>
      </c>
      <c r="X8" s="48">
        <f>('[1]FACTURACION SEP17'!$O$10)/1000</f>
        <v>2118.8629999999998</v>
      </c>
      <c r="Y8" s="48">
        <f>('[1]FACTURACION SEP17'!$Q$10)/1000</f>
        <v>0</v>
      </c>
      <c r="Z8" s="48">
        <f>+S8*U8+T8*V8</f>
        <v>2118.8629999999998</v>
      </c>
      <c r="AA8" s="48">
        <f>+Z8/V8</f>
        <v>47.294993415325543</v>
      </c>
      <c r="AD8" s="44">
        <f>+INDEX([2]Precios!$B$9:$H$28,MATCH($J8,[2]Precios!$B$9:$B$28,0),7)</f>
        <v>5665.6243999999997</v>
      </c>
      <c r="AE8" s="44">
        <f>+INDEX([2]Precios!$B$9:$H$28,MATCH($J8,[2]Precios!$B$9:$B$28,0),6)</f>
        <v>47.295000000000002</v>
      </c>
      <c r="AF8" s="68">
        <f>+M8</f>
        <v>0</v>
      </c>
      <c r="AG8" s="68">
        <f>+N8</f>
        <v>44.801000000000002</v>
      </c>
      <c r="AH8" s="68">
        <f t="shared" ref="AH8:AI12" si="1">+AD8*AF8</f>
        <v>0</v>
      </c>
      <c r="AI8" s="68">
        <f t="shared" si="1"/>
        <v>2118.8632950000001</v>
      </c>
      <c r="AJ8" s="68"/>
      <c r="AK8" s="69">
        <f t="shared" ref="AK8:AK12" si="2">+AD8*AF8+AE8*AG8</f>
        <v>2118.8632950000001</v>
      </c>
      <c r="AL8" s="69">
        <f t="shared" ref="AL8:AL12" si="3">+AK8/AG8</f>
        <v>47.295000000000002</v>
      </c>
      <c r="AO8" s="44">
        <f>+K8-AD8</f>
        <v>-5665.6243999999997</v>
      </c>
      <c r="AP8" s="44">
        <f>+L8-AE8</f>
        <v>-6.5846744590203343E-6</v>
      </c>
      <c r="AQ8" s="44">
        <f>+M8-AF8</f>
        <v>0</v>
      </c>
      <c r="AR8" s="44">
        <f>+N8-AG8</f>
        <v>0</v>
      </c>
      <c r="AS8" s="44">
        <f>-K8*M8+AD8*AF8</f>
        <v>0</v>
      </c>
      <c r="AT8" s="44">
        <f>-L8*N8+AE8*AG8</f>
        <v>2.9500000027837814E-4</v>
      </c>
      <c r="AU8" s="61">
        <f>-O8+AK8</f>
        <v>2.9500000027837814E-4</v>
      </c>
      <c r="AV8" s="44">
        <f>+P8-AL8</f>
        <v>-6.5846744590203343E-6</v>
      </c>
      <c r="AY8" s="44"/>
      <c r="AZ8" s="44"/>
      <c r="BA8" s="44"/>
      <c r="BB8" s="44"/>
      <c r="BC8" s="44"/>
      <c r="BD8" s="44">
        <f>[3]RESUMEN!$H$9/1000</f>
        <v>21.376000000000001</v>
      </c>
      <c r="BE8" s="44"/>
      <c r="BF8" s="44"/>
      <c r="BG8" s="44"/>
    </row>
    <row r="9" spans="2:59" hidden="1" x14ac:dyDescent="0.25">
      <c r="B9" s="43" t="s">
        <v>134</v>
      </c>
      <c r="C9" s="88" t="s">
        <v>148</v>
      </c>
      <c r="D9" s="47" t="s">
        <v>10</v>
      </c>
      <c r="E9" s="47">
        <v>220</v>
      </c>
      <c r="F9" s="47" t="s">
        <v>137</v>
      </c>
      <c r="G9" s="25" t="s">
        <v>154</v>
      </c>
      <c r="H9" s="26">
        <v>42736</v>
      </c>
      <c r="I9" s="26">
        <v>50040</v>
      </c>
      <c r="J9" s="16" t="str">
        <f t="shared" ref="J9:J72" si="4">+D9</f>
        <v>Diego de Almagro 220</v>
      </c>
      <c r="K9" s="44">
        <f t="shared" ref="K9:K72" si="5">+S9</f>
        <v>0</v>
      </c>
      <c r="L9" s="44">
        <f t="shared" ref="L9:L72" si="6">+T9</f>
        <v>47.295005614005909</v>
      </c>
      <c r="M9" s="56">
        <f t="shared" ref="M9:M72" si="7">+U9</f>
        <v>0</v>
      </c>
      <c r="N9" s="56">
        <f t="shared" ref="N9:N72" si="8">+V9</f>
        <v>48.094000000000001</v>
      </c>
      <c r="O9" s="45">
        <f t="shared" ref="O9:O72" si="9">+Z9</f>
        <v>2274.6060000000002</v>
      </c>
      <c r="P9" s="45">
        <f t="shared" ref="P9:P72" si="10">+AA9</f>
        <v>47.295005614005909</v>
      </c>
      <c r="S9" s="48">
        <f t="shared" ref="S9:S72" si="11">+IFERROR(W9/U9,0)</f>
        <v>0</v>
      </c>
      <c r="T9" s="48">
        <f t="shared" ref="T9:T72" si="12">+IFERROR(X9/V9,0)</f>
        <v>47.295005614005909</v>
      </c>
      <c r="U9" s="48">
        <f>('[1]FACTURACION SEP17'!$L$16)/1000</f>
        <v>0</v>
      </c>
      <c r="V9" s="48">
        <f>('[1]FACTURACION SEP17'!$K$16)/1000</f>
        <v>48.094000000000001</v>
      </c>
      <c r="W9" s="48">
        <f>('[1]FACTURACION SEP17'!P$16)/1000</f>
        <v>0</v>
      </c>
      <c r="X9" s="48">
        <f>('[1]FACTURACION SEP17'!$O$16)/1000</f>
        <v>2274.6060000000002</v>
      </c>
      <c r="Y9" s="48">
        <f>('[1]FACTURACION SEP17'!$Q$16)/1000</f>
        <v>0</v>
      </c>
      <c r="Z9" s="48">
        <f t="shared" ref="Z9:Z72" si="13">+S9*U9+T9*V9</f>
        <v>2274.6060000000002</v>
      </c>
      <c r="AA9" s="48">
        <f t="shared" ref="AA9:AA72" si="14">+Z9/V9</f>
        <v>47.295005614005909</v>
      </c>
      <c r="AD9" s="44">
        <f>+INDEX([2]Precios!$B$9:$H$28,MATCH($J9,[2]Precios!$B$9:$B$28,0),7)</f>
        <v>5665.6243999999997</v>
      </c>
      <c r="AE9" s="44">
        <f>+INDEX([2]Precios!$B$9:$H$28,MATCH($J9,[2]Precios!$B$9:$B$28,0),6)</f>
        <v>47.295000000000002</v>
      </c>
      <c r="AF9" s="68">
        <f t="shared" ref="AF9:AG12" si="15">+M9</f>
        <v>0</v>
      </c>
      <c r="AG9" s="68">
        <f t="shared" si="15"/>
        <v>48.094000000000001</v>
      </c>
      <c r="AH9" s="68">
        <f t="shared" si="1"/>
        <v>0</v>
      </c>
      <c r="AI9" s="68">
        <f t="shared" si="1"/>
        <v>2274.6057300000002</v>
      </c>
      <c r="AJ9" s="68"/>
      <c r="AK9" s="69">
        <f t="shared" si="2"/>
        <v>2274.6057300000002</v>
      </c>
      <c r="AL9" s="69">
        <f t="shared" si="3"/>
        <v>47.295000000000002</v>
      </c>
      <c r="AO9" s="44">
        <f t="shared" ref="AO9:AR13" si="16">+K9-AD9</f>
        <v>-5665.6243999999997</v>
      </c>
      <c r="AP9" s="44">
        <f t="shared" si="16"/>
        <v>5.6140059072617987E-6</v>
      </c>
      <c r="AQ9" s="44">
        <f t="shared" si="16"/>
        <v>0</v>
      </c>
      <c r="AR9" s="44">
        <f t="shared" si="16"/>
        <v>0</v>
      </c>
      <c r="AS9" s="44">
        <f t="shared" ref="AS9:AT13" si="17">-K9*M9+AD9*AF9</f>
        <v>0</v>
      </c>
      <c r="AT9" s="44">
        <f t="shared" si="17"/>
        <v>-2.7000000000043656E-4</v>
      </c>
      <c r="AU9" s="61">
        <f t="shared" ref="AU9:AU13" si="18">-O9+AK9</f>
        <v>-2.7000000000043656E-4</v>
      </c>
      <c r="AV9" s="44">
        <f t="shared" ref="AV9:AV13" si="19">+P9-AL9</f>
        <v>5.6140059072617987E-6</v>
      </c>
      <c r="AY9" s="44"/>
      <c r="AZ9" s="44"/>
      <c r="BA9" s="44"/>
      <c r="BB9" s="44"/>
      <c r="BC9" s="44"/>
      <c r="BD9" s="44"/>
      <c r="BE9" s="44"/>
      <c r="BF9" s="44"/>
      <c r="BG9" s="44"/>
    </row>
    <row r="10" spans="2:59" hidden="1" x14ac:dyDescent="0.25">
      <c r="B10" s="43" t="s">
        <v>134</v>
      </c>
      <c r="C10" s="88" t="s">
        <v>148</v>
      </c>
      <c r="D10" s="47" t="s">
        <v>10</v>
      </c>
      <c r="E10" s="47">
        <v>220</v>
      </c>
      <c r="F10" s="47" t="s">
        <v>137</v>
      </c>
      <c r="G10" s="25" t="s">
        <v>155</v>
      </c>
      <c r="H10" s="26">
        <v>42736</v>
      </c>
      <c r="I10" s="26">
        <v>50040</v>
      </c>
      <c r="J10" s="16" t="str">
        <f t="shared" si="4"/>
        <v>Diego de Almagro 220</v>
      </c>
      <c r="K10" s="44">
        <f t="shared" si="5"/>
        <v>5665.6907630522091</v>
      </c>
      <c r="L10" s="44">
        <f t="shared" si="6"/>
        <v>47.294992531012532</v>
      </c>
      <c r="M10" s="56">
        <f t="shared" si="7"/>
        <v>0.249</v>
      </c>
      <c r="N10" s="56">
        <f t="shared" si="8"/>
        <v>30.794</v>
      </c>
      <c r="O10" s="45">
        <f t="shared" si="9"/>
        <v>2867.1590000000001</v>
      </c>
      <c r="P10" s="45">
        <f t="shared" si="10"/>
        <v>93.107715788790031</v>
      </c>
      <c r="S10" s="48">
        <f t="shared" si="11"/>
        <v>5665.6907630522091</v>
      </c>
      <c r="T10" s="48">
        <f t="shared" si="12"/>
        <v>47.294992531012532</v>
      </c>
      <c r="U10" s="48">
        <f>('[1]FACTURACION SEP17'!$L$22)/1000</f>
        <v>0.249</v>
      </c>
      <c r="V10" s="48">
        <f>('[1]FACTURACION SEP17'!$K$22)/1000</f>
        <v>30.794</v>
      </c>
      <c r="W10" s="48">
        <f>('[1]FACTURACION SEP17'!P$22)/1000</f>
        <v>1410.7570000000001</v>
      </c>
      <c r="X10" s="48">
        <f>('[1]FACTURACION SEP17'!$O$22)/1000</f>
        <v>1456.402</v>
      </c>
      <c r="Y10" s="48">
        <f>('[1]FACTURACION SEP17'!$Q$22)/1000</f>
        <v>0</v>
      </c>
      <c r="Z10" s="48">
        <f t="shared" si="13"/>
        <v>2867.1590000000001</v>
      </c>
      <c r="AA10" s="48">
        <f t="shared" si="14"/>
        <v>93.107715788790031</v>
      </c>
      <c r="AD10" s="44">
        <f>+INDEX([2]Precios!$B$9:$H$28,MATCH($J10,[2]Precios!$B$9:$B$28,0),7)</f>
        <v>5665.6243999999997</v>
      </c>
      <c r="AE10" s="44">
        <f>+INDEX([2]Precios!$B$9:$H$28,MATCH($J10,[2]Precios!$B$9:$B$28,0),6)</f>
        <v>47.295000000000002</v>
      </c>
      <c r="AF10" s="68">
        <f t="shared" si="15"/>
        <v>0.249</v>
      </c>
      <c r="AG10" s="68">
        <f t="shared" si="15"/>
        <v>30.794</v>
      </c>
      <c r="AH10" s="68">
        <f t="shared" si="1"/>
        <v>1410.7404755999999</v>
      </c>
      <c r="AI10" s="68">
        <f t="shared" si="1"/>
        <v>1456.4022300000001</v>
      </c>
      <c r="AJ10" s="68"/>
      <c r="AK10" s="69">
        <f t="shared" si="2"/>
        <v>2867.1427056000002</v>
      </c>
      <c r="AL10" s="69">
        <f t="shared" si="3"/>
        <v>93.107186646749369</v>
      </c>
      <c r="AO10" s="44">
        <f t="shared" si="16"/>
        <v>6.6363052209453599E-2</v>
      </c>
      <c r="AP10" s="44">
        <f t="shared" si="16"/>
        <v>-7.4689874693945058E-6</v>
      </c>
      <c r="AQ10" s="44">
        <f t="shared" si="16"/>
        <v>0</v>
      </c>
      <c r="AR10" s="44">
        <f t="shared" si="16"/>
        <v>0</v>
      </c>
      <c r="AS10" s="44">
        <f t="shared" si="17"/>
        <v>-1.6524400000207606E-2</v>
      </c>
      <c r="AT10" s="44">
        <f t="shared" si="17"/>
        <v>2.3000000010142685E-4</v>
      </c>
      <c r="AU10" s="61">
        <f t="shared" si="18"/>
        <v>-1.6294399999878806E-2</v>
      </c>
      <c r="AV10" s="44">
        <f t="shared" si="19"/>
        <v>5.2914204066212278E-4</v>
      </c>
      <c r="AY10" s="44"/>
      <c r="AZ10" s="44"/>
      <c r="BA10" s="44"/>
      <c r="BB10" s="44"/>
      <c r="BC10" s="44"/>
      <c r="BD10" s="44"/>
      <c r="BE10" s="44"/>
      <c r="BF10" s="44"/>
      <c r="BG10" s="44"/>
    </row>
    <row r="11" spans="2:59" hidden="1" x14ac:dyDescent="0.25">
      <c r="B11" s="43" t="s">
        <v>134</v>
      </c>
      <c r="C11" s="88" t="s">
        <v>11</v>
      </c>
      <c r="D11" s="47" t="s">
        <v>12</v>
      </c>
      <c r="E11" s="47">
        <v>220</v>
      </c>
      <c r="F11" s="47" t="s">
        <v>137</v>
      </c>
      <c r="G11" s="25" t="s">
        <v>153</v>
      </c>
      <c r="H11" s="26">
        <v>42736</v>
      </c>
      <c r="I11" s="26">
        <v>50040</v>
      </c>
      <c r="J11" s="16" t="str">
        <f t="shared" si="4"/>
        <v>Cardones 220</v>
      </c>
      <c r="K11" s="44">
        <f t="shared" si="5"/>
        <v>0</v>
      </c>
      <c r="L11" s="44">
        <f t="shared" si="6"/>
        <v>47.632001018329937</v>
      </c>
      <c r="M11" s="56">
        <f t="shared" si="7"/>
        <v>0</v>
      </c>
      <c r="N11" s="56">
        <f t="shared" si="8"/>
        <v>125.696</v>
      </c>
      <c r="O11" s="45">
        <f t="shared" si="9"/>
        <v>5987.152</v>
      </c>
      <c r="P11" s="45">
        <f t="shared" si="10"/>
        <v>47.632001018329937</v>
      </c>
      <c r="S11" s="48">
        <f t="shared" si="11"/>
        <v>0</v>
      </c>
      <c r="T11" s="48">
        <f t="shared" si="12"/>
        <v>47.632001018329937</v>
      </c>
      <c r="U11" s="48">
        <f>('[1]FACTURACION SEP17'!L63)/1000</f>
        <v>0</v>
      </c>
      <c r="V11" s="48">
        <f>('[1]FACTURACION SEP17'!K63)/1000</f>
        <v>125.696</v>
      </c>
      <c r="W11" s="48">
        <f>('[1]FACTURACION SEP17'!P63)/1000</f>
        <v>0</v>
      </c>
      <c r="X11" s="48">
        <f>('[1]FACTURACION SEP17'!O63)/1000</f>
        <v>5987.152</v>
      </c>
      <c r="Y11" s="48">
        <f>('[1]FACTURACION SEP17'!Q63)/1000</f>
        <v>0</v>
      </c>
      <c r="Z11" s="48">
        <f t="shared" si="13"/>
        <v>5987.152</v>
      </c>
      <c r="AA11" s="48">
        <f t="shared" si="14"/>
        <v>47.632001018329937</v>
      </c>
      <c r="AD11" s="44">
        <f>+INDEX([2]Precios!$B$9:$H$28,MATCH($J11,[2]Precios!$B$9:$B$28,0),7)</f>
        <v>5903.9209000000001</v>
      </c>
      <c r="AE11" s="44">
        <f>+INDEX([2]Precios!$B$9:$H$28,MATCH($J11,[2]Precios!$B$9:$B$28,0),6)</f>
        <v>47.631999999999998</v>
      </c>
      <c r="AF11" s="68">
        <f t="shared" si="15"/>
        <v>0</v>
      </c>
      <c r="AG11" s="68">
        <f t="shared" si="15"/>
        <v>125.696</v>
      </c>
      <c r="AH11" s="68">
        <f t="shared" si="1"/>
        <v>0</v>
      </c>
      <c r="AI11" s="68">
        <f t="shared" si="1"/>
        <v>5987.1518719999995</v>
      </c>
      <c r="AJ11" s="68"/>
      <c r="AK11" s="69">
        <f t="shared" si="2"/>
        <v>5987.1518719999995</v>
      </c>
      <c r="AL11" s="69">
        <f t="shared" si="3"/>
        <v>47.631999999999998</v>
      </c>
      <c r="AO11" s="44">
        <f t="shared" si="16"/>
        <v>-5903.9209000000001</v>
      </c>
      <c r="AP11" s="44">
        <f t="shared" si="16"/>
        <v>1.0183299394839196E-6</v>
      </c>
      <c r="AQ11" s="44">
        <f t="shared" si="16"/>
        <v>0</v>
      </c>
      <c r="AR11" s="44">
        <f t="shared" si="16"/>
        <v>0</v>
      </c>
      <c r="AS11" s="44">
        <f t="shared" si="17"/>
        <v>0</v>
      </c>
      <c r="AT11" s="44">
        <f t="shared" si="17"/>
        <v>-1.2800000058632577E-4</v>
      </c>
      <c r="AU11" s="61">
        <f t="shared" si="18"/>
        <v>-1.2800000058632577E-4</v>
      </c>
      <c r="AV11" s="44">
        <f t="shared" si="19"/>
        <v>1.0183299394839196E-6</v>
      </c>
      <c r="AY11" s="44"/>
      <c r="AZ11" s="44"/>
      <c r="BA11" s="44"/>
      <c r="BB11" s="44"/>
      <c r="BC11" s="44"/>
      <c r="BD11" s="44"/>
      <c r="BE11" s="44"/>
      <c r="BF11" s="44"/>
      <c r="BG11" s="44"/>
    </row>
    <row r="12" spans="2:59" hidden="1" x14ac:dyDescent="0.25">
      <c r="B12" s="43" t="s">
        <v>134</v>
      </c>
      <c r="C12" s="88" t="s">
        <v>11</v>
      </c>
      <c r="D12" s="47" t="s">
        <v>10</v>
      </c>
      <c r="E12" s="47">
        <v>220</v>
      </c>
      <c r="F12" s="47" t="s">
        <v>137</v>
      </c>
      <c r="G12" s="25" t="s">
        <v>153</v>
      </c>
      <c r="H12" s="26">
        <v>42736</v>
      </c>
      <c r="I12" s="26">
        <v>50040</v>
      </c>
      <c r="J12" s="16" t="str">
        <f t="shared" si="4"/>
        <v>Diego de Almagro 220</v>
      </c>
      <c r="K12" s="44">
        <f t="shared" si="5"/>
        <v>0</v>
      </c>
      <c r="L12" s="44">
        <f t="shared" si="6"/>
        <v>47.294976729256938</v>
      </c>
      <c r="M12" s="56">
        <f t="shared" si="7"/>
        <v>0</v>
      </c>
      <c r="N12" s="56">
        <f t="shared" si="8"/>
        <v>12.462</v>
      </c>
      <c r="O12" s="45">
        <f t="shared" si="9"/>
        <v>589.39</v>
      </c>
      <c r="P12" s="45">
        <f t="shared" si="10"/>
        <v>47.294976729256938</v>
      </c>
      <c r="S12" s="48">
        <f t="shared" si="11"/>
        <v>0</v>
      </c>
      <c r="T12" s="48">
        <f t="shared" si="12"/>
        <v>47.294976729256938</v>
      </c>
      <c r="U12" s="48">
        <f>('[1]FACTURACION SEP17'!L64)/1000</f>
        <v>0</v>
      </c>
      <c r="V12" s="48">
        <f>('[1]FACTURACION SEP17'!K64)/1000</f>
        <v>12.462</v>
      </c>
      <c r="W12" s="48">
        <f>('[1]FACTURACION SEP17'!P64)/1000</f>
        <v>0</v>
      </c>
      <c r="X12" s="48">
        <f>('[1]FACTURACION SEP17'!O64)/1000</f>
        <v>589.39</v>
      </c>
      <c r="Y12" s="48">
        <f>('[1]FACTURACION SEP17'!Q64)/1000</f>
        <v>0</v>
      </c>
      <c r="Z12" s="48">
        <f t="shared" si="13"/>
        <v>589.39</v>
      </c>
      <c r="AA12" s="48">
        <f t="shared" si="14"/>
        <v>47.294976729256938</v>
      </c>
      <c r="AD12" s="44">
        <f>+INDEX([2]Precios!$B$9:$H$28,MATCH($J12,[2]Precios!$B$9:$B$28,0),7)</f>
        <v>5665.6243999999997</v>
      </c>
      <c r="AE12" s="44">
        <f>+INDEX([2]Precios!$B$9:$H$28,MATCH($J12,[2]Precios!$B$9:$B$28,0),6)</f>
        <v>47.295000000000002</v>
      </c>
      <c r="AF12" s="68">
        <f t="shared" si="15"/>
        <v>0</v>
      </c>
      <c r="AG12" s="68">
        <f t="shared" si="15"/>
        <v>12.462</v>
      </c>
      <c r="AH12" s="68">
        <f t="shared" si="1"/>
        <v>0</v>
      </c>
      <c r="AI12" s="68">
        <f t="shared" si="1"/>
        <v>589.39029000000005</v>
      </c>
      <c r="AJ12" s="68"/>
      <c r="AK12" s="69">
        <f t="shared" si="2"/>
        <v>589.39029000000005</v>
      </c>
      <c r="AL12" s="69">
        <f t="shared" si="3"/>
        <v>47.295000000000002</v>
      </c>
      <c r="AO12" s="44">
        <f t="shared" si="16"/>
        <v>-5665.6243999999997</v>
      </c>
      <c r="AP12" s="44">
        <f t="shared" si="16"/>
        <v>-2.3270743064074395E-5</v>
      </c>
      <c r="AQ12" s="44">
        <f t="shared" si="16"/>
        <v>0</v>
      </c>
      <c r="AR12" s="44">
        <f t="shared" si="16"/>
        <v>0</v>
      </c>
      <c r="AS12" s="44">
        <f t="shared" si="17"/>
        <v>0</v>
      </c>
      <c r="AT12" s="44">
        <f t="shared" si="17"/>
        <v>2.9000000006362825E-4</v>
      </c>
      <c r="AU12" s="61">
        <f t="shared" si="18"/>
        <v>2.9000000006362825E-4</v>
      </c>
      <c r="AV12" s="44">
        <f t="shared" si="19"/>
        <v>-2.3270743064074395E-5</v>
      </c>
      <c r="AY12" s="44"/>
      <c r="AZ12" s="44"/>
      <c r="BA12" s="44"/>
      <c r="BB12" s="44"/>
      <c r="BC12" s="44"/>
      <c r="BD12" s="44"/>
      <c r="BE12" s="44"/>
      <c r="BF12" s="44"/>
      <c r="BG12" s="44"/>
    </row>
    <row r="13" spans="2:59" hidden="1" x14ac:dyDescent="0.25">
      <c r="B13" s="43" t="s">
        <v>134</v>
      </c>
      <c r="C13" s="88" t="s">
        <v>11</v>
      </c>
      <c r="D13" s="47" t="s">
        <v>13</v>
      </c>
      <c r="E13" s="47">
        <v>220</v>
      </c>
      <c r="F13" s="47" t="s">
        <v>137</v>
      </c>
      <c r="G13" s="25" t="s">
        <v>153</v>
      </c>
      <c r="H13" s="26">
        <v>42736</v>
      </c>
      <c r="I13" s="26">
        <v>50040</v>
      </c>
      <c r="J13" s="16" t="str">
        <f t="shared" si="4"/>
        <v>Maitencillo 220</v>
      </c>
      <c r="K13" s="44">
        <f t="shared" si="5"/>
        <v>0</v>
      </c>
      <c r="L13" s="44">
        <f t="shared" si="6"/>
        <v>46.391986768379127</v>
      </c>
      <c r="M13" s="56">
        <f t="shared" si="7"/>
        <v>0</v>
      </c>
      <c r="N13" s="56">
        <f t="shared" si="8"/>
        <v>29.626000000000001</v>
      </c>
      <c r="O13" s="45">
        <f t="shared" si="9"/>
        <v>1374.4090000000001</v>
      </c>
      <c r="P13" s="45">
        <f t="shared" si="10"/>
        <v>46.391986768379127</v>
      </c>
      <c r="S13" s="48">
        <f t="shared" si="11"/>
        <v>0</v>
      </c>
      <c r="T13" s="48">
        <f t="shared" si="12"/>
        <v>46.391986768379127</v>
      </c>
      <c r="U13" s="48">
        <f>('[1]FACTURACION SEP17'!L65)/1000</f>
        <v>0</v>
      </c>
      <c r="V13" s="48">
        <f>('[1]FACTURACION SEP17'!K65)/1000</f>
        <v>29.626000000000001</v>
      </c>
      <c r="W13" s="48">
        <f>('[1]FACTURACION SEP17'!P65)/1000</f>
        <v>0</v>
      </c>
      <c r="X13" s="48">
        <f>('[1]FACTURACION SEP17'!O65)/1000</f>
        <v>1374.4090000000001</v>
      </c>
      <c r="Y13" s="48">
        <f>('[1]FACTURACION SEP17'!Q65)/1000</f>
        <v>0</v>
      </c>
      <c r="Z13" s="48">
        <f t="shared" si="13"/>
        <v>1374.4090000000001</v>
      </c>
      <c r="AA13" s="48">
        <f t="shared" si="14"/>
        <v>46.391986768379127</v>
      </c>
      <c r="AD13" s="44">
        <f>+INDEX([2]Precios!$B$9:$H$28,MATCH($J13,[2]Precios!$B$9:$B$28,0),7)</f>
        <v>5628.4650000000001</v>
      </c>
      <c r="AE13" s="44">
        <f>+INDEX([2]Precios!$B$9:$H$28,MATCH($J13,[2]Precios!$B$9:$B$28,0),6)</f>
        <v>46.392000000000003</v>
      </c>
      <c r="AF13" s="68">
        <f t="shared" ref="AF13:AF76" si="20">+M13</f>
        <v>0</v>
      </c>
      <c r="AG13" s="68">
        <f t="shared" ref="AG13:AG76" si="21">+N13</f>
        <v>29.626000000000001</v>
      </c>
      <c r="AH13" s="68">
        <f t="shared" ref="AH13:AH76" si="22">+AD13*AF13</f>
        <v>0</v>
      </c>
      <c r="AI13" s="68">
        <f t="shared" ref="AI13:AI76" si="23">+AE13*AG13</f>
        <v>1374.4093920000003</v>
      </c>
      <c r="AJ13" s="68"/>
      <c r="AK13" s="69">
        <f t="shared" ref="AK13:AK76" si="24">+AD13*AF13+AE13*AG13</f>
        <v>1374.4093920000003</v>
      </c>
      <c r="AL13" s="69">
        <f t="shared" ref="AL13:AL76" si="25">+AK13/AG13</f>
        <v>46.39200000000001</v>
      </c>
      <c r="AO13" s="44">
        <f t="shared" si="16"/>
        <v>-5628.4650000000001</v>
      </c>
      <c r="AP13" s="44">
        <f t="shared" si="16"/>
        <v>-1.3231620876297256E-5</v>
      </c>
      <c r="AQ13" s="44">
        <f t="shared" si="16"/>
        <v>0</v>
      </c>
      <c r="AR13" s="44">
        <f t="shared" si="16"/>
        <v>0</v>
      </c>
      <c r="AS13" s="44">
        <f t="shared" si="17"/>
        <v>0</v>
      </c>
      <c r="AT13" s="44">
        <f t="shared" si="17"/>
        <v>3.9200000014716352E-4</v>
      </c>
      <c r="AU13" s="61">
        <f t="shared" si="18"/>
        <v>3.9200000014716352E-4</v>
      </c>
      <c r="AV13" s="44">
        <f t="shared" si="19"/>
        <v>-1.3231620883402684E-5</v>
      </c>
      <c r="AY13" s="44"/>
      <c r="AZ13" s="44"/>
      <c r="BA13" s="44"/>
      <c r="BB13" s="44"/>
      <c r="BC13" s="44"/>
      <c r="BD13" s="44"/>
      <c r="BE13" s="44"/>
      <c r="BF13" s="44"/>
      <c r="BG13" s="44"/>
    </row>
    <row r="14" spans="2:59" hidden="1" x14ac:dyDescent="0.25">
      <c r="B14" s="43" t="s">
        <v>134</v>
      </c>
      <c r="C14" s="88" t="s">
        <v>11</v>
      </c>
      <c r="D14" s="47" t="s">
        <v>135</v>
      </c>
      <c r="E14" s="47">
        <v>220</v>
      </c>
      <c r="F14" s="47" t="s">
        <v>137</v>
      </c>
      <c r="G14" s="25" t="s">
        <v>153</v>
      </c>
      <c r="H14" s="26">
        <v>42736</v>
      </c>
      <c r="I14" s="26">
        <v>50040</v>
      </c>
      <c r="J14" s="16" t="str">
        <f t="shared" si="4"/>
        <v>Pan de Azucar 220</v>
      </c>
      <c r="K14" s="44">
        <f t="shared" si="5"/>
        <v>0</v>
      </c>
      <c r="L14" s="44">
        <f t="shared" si="6"/>
        <v>53.296028880866423</v>
      </c>
      <c r="M14" s="56">
        <f t="shared" si="7"/>
        <v>0</v>
      </c>
      <c r="N14" s="56">
        <f t="shared" si="8"/>
        <v>0.27700000000000002</v>
      </c>
      <c r="O14" s="45">
        <f t="shared" si="9"/>
        <v>14.763</v>
      </c>
      <c r="P14" s="45">
        <f t="shared" si="10"/>
        <v>53.296028880866423</v>
      </c>
      <c r="S14" s="48">
        <f t="shared" si="11"/>
        <v>0</v>
      </c>
      <c r="T14" s="48">
        <f t="shared" si="12"/>
        <v>53.296028880866423</v>
      </c>
      <c r="U14" s="48">
        <f>('[1]FACTURACION SEP17'!L66)/1000</f>
        <v>0</v>
      </c>
      <c r="V14" s="48">
        <f>('[1]FACTURACION SEP17'!K66)/1000</f>
        <v>0.27700000000000002</v>
      </c>
      <c r="W14" s="48">
        <f>('[1]FACTURACION SEP17'!P66)/1000</f>
        <v>0</v>
      </c>
      <c r="X14" s="48">
        <f>('[1]FACTURACION SEP17'!O66)/1000</f>
        <v>14.763</v>
      </c>
      <c r="Y14" s="48">
        <f>('[1]FACTURACION SEP17'!Q66)/1000</f>
        <v>0</v>
      </c>
      <c r="Z14" s="48">
        <f t="shared" si="13"/>
        <v>14.763</v>
      </c>
      <c r="AA14" s="48">
        <f t="shared" si="14"/>
        <v>53.296028880866423</v>
      </c>
      <c r="AD14" s="44">
        <f>+INDEX([2]Precios!$B$9:$H$28,MATCH($J14,[2]Precios!$B$9:$B$28,0),7)</f>
        <v>5537.8145000000004</v>
      </c>
      <c r="AE14" s="44">
        <f>+INDEX([2]Precios!$B$9:$H$28,MATCH($J14,[2]Precios!$B$9:$B$28,0),6)</f>
        <v>53.296999999999997</v>
      </c>
      <c r="AF14" s="68">
        <f t="shared" si="20"/>
        <v>0</v>
      </c>
      <c r="AG14" s="68">
        <f t="shared" si="21"/>
        <v>0.27700000000000002</v>
      </c>
      <c r="AH14" s="68">
        <f t="shared" si="22"/>
        <v>0</v>
      </c>
      <c r="AI14" s="68">
        <f t="shared" si="23"/>
        <v>14.763269000000001</v>
      </c>
      <c r="AJ14" s="68"/>
      <c r="AK14" s="69">
        <f t="shared" si="24"/>
        <v>14.763269000000001</v>
      </c>
      <c r="AL14" s="69">
        <f t="shared" si="25"/>
        <v>53.296999999999997</v>
      </c>
      <c r="AO14" s="44">
        <f t="shared" ref="AO14:AO77" si="26">+K14-AD14</f>
        <v>-5537.8145000000004</v>
      </c>
      <c r="AP14" s="44">
        <f t="shared" ref="AP14:AP77" si="27">+L14-AE14</f>
        <v>-9.7111913357394997E-4</v>
      </c>
      <c r="AQ14" s="44">
        <f t="shared" ref="AQ14:AQ77" si="28">+M14-AF14</f>
        <v>0</v>
      </c>
      <c r="AR14" s="44">
        <f t="shared" ref="AR14:AR77" si="29">+N14-AG14</f>
        <v>0</v>
      </c>
      <c r="AS14" s="44">
        <f t="shared" ref="AS14:AS77" si="30">-K14*M14+AD14*AF14</f>
        <v>0</v>
      </c>
      <c r="AT14" s="44">
        <f t="shared" ref="AT14:AT77" si="31">-L14*N14+AE14*AG14</f>
        <v>2.6900000000118496E-4</v>
      </c>
      <c r="AU14" s="61">
        <f t="shared" ref="AU14:AU77" si="32">-O14+AK14</f>
        <v>2.6900000000118496E-4</v>
      </c>
      <c r="AV14" s="44">
        <f t="shared" ref="AV14:AV77" si="33">+P14-AL14</f>
        <v>-9.7111913357394997E-4</v>
      </c>
      <c r="AY14" s="44"/>
      <c r="AZ14" s="44"/>
      <c r="BA14" s="44"/>
      <c r="BB14" s="44"/>
      <c r="BC14" s="44"/>
      <c r="BD14" s="44"/>
      <c r="BE14" s="44"/>
      <c r="BF14" s="44"/>
      <c r="BG14" s="44"/>
    </row>
    <row r="15" spans="2:59" hidden="1" x14ac:dyDescent="0.25">
      <c r="B15" s="43" t="s">
        <v>134</v>
      </c>
      <c r="C15" s="88" t="s">
        <v>11</v>
      </c>
      <c r="D15" s="47" t="s">
        <v>12</v>
      </c>
      <c r="E15" s="47">
        <v>220</v>
      </c>
      <c r="F15" s="47" t="s">
        <v>137</v>
      </c>
      <c r="G15" s="25" t="s">
        <v>154</v>
      </c>
      <c r="H15" s="26">
        <v>42736</v>
      </c>
      <c r="I15" s="26">
        <v>50040</v>
      </c>
      <c r="J15" s="16" t="str">
        <f t="shared" si="4"/>
        <v>Cardones 220</v>
      </c>
      <c r="K15" s="44">
        <f t="shared" si="5"/>
        <v>0</v>
      </c>
      <c r="L15" s="44">
        <f t="shared" si="6"/>
        <v>47.632002557136005</v>
      </c>
      <c r="M15" s="56">
        <f t="shared" si="7"/>
        <v>0</v>
      </c>
      <c r="N15" s="56">
        <f t="shared" si="8"/>
        <v>156.42500000000001</v>
      </c>
      <c r="O15" s="45">
        <f t="shared" si="9"/>
        <v>7450.8360000000002</v>
      </c>
      <c r="P15" s="45">
        <f t="shared" si="10"/>
        <v>47.632002557136005</v>
      </c>
      <c r="S15" s="48">
        <f t="shared" si="11"/>
        <v>0</v>
      </c>
      <c r="T15" s="48">
        <f t="shared" si="12"/>
        <v>47.632002557136005</v>
      </c>
      <c r="U15" s="48">
        <f>('[1]FACTURACION SEP17'!L87)/1000</f>
        <v>0</v>
      </c>
      <c r="V15" s="48">
        <f>('[1]FACTURACION SEP17'!K87)/1000</f>
        <v>156.42500000000001</v>
      </c>
      <c r="W15" s="48">
        <f>('[1]FACTURACION SEP17'!P87)/1000</f>
        <v>0</v>
      </c>
      <c r="X15" s="48">
        <f>('[1]FACTURACION SEP17'!O87)/1000</f>
        <v>7450.8360000000002</v>
      </c>
      <c r="Y15" s="48">
        <f>('[1]FACTURACION SEP17'!Q87)/1000</f>
        <v>0</v>
      </c>
      <c r="Z15" s="48">
        <f t="shared" si="13"/>
        <v>7450.8360000000002</v>
      </c>
      <c r="AA15" s="48">
        <f t="shared" si="14"/>
        <v>47.632002557136005</v>
      </c>
      <c r="AD15" s="44">
        <f>+INDEX([2]Precios!$B$9:$H$28,MATCH($J15,[2]Precios!$B$9:$B$28,0),7)</f>
        <v>5903.9209000000001</v>
      </c>
      <c r="AE15" s="44">
        <f>+INDEX([2]Precios!$B$9:$H$28,MATCH($J15,[2]Precios!$B$9:$B$28,0),6)</f>
        <v>47.631999999999998</v>
      </c>
      <c r="AF15" s="68">
        <f t="shared" si="20"/>
        <v>0</v>
      </c>
      <c r="AG15" s="68">
        <f t="shared" si="21"/>
        <v>156.42500000000001</v>
      </c>
      <c r="AH15" s="68">
        <f t="shared" si="22"/>
        <v>0</v>
      </c>
      <c r="AI15" s="68">
        <f t="shared" si="23"/>
        <v>7450.8356000000003</v>
      </c>
      <c r="AJ15" s="68"/>
      <c r="AK15" s="69">
        <f t="shared" si="24"/>
        <v>7450.8356000000003</v>
      </c>
      <c r="AL15" s="69">
        <f t="shared" si="25"/>
        <v>47.631999999999998</v>
      </c>
      <c r="AO15" s="44">
        <f t="shared" si="26"/>
        <v>-5903.9209000000001</v>
      </c>
      <c r="AP15" s="44">
        <f t="shared" si="27"/>
        <v>2.5571360069420734E-6</v>
      </c>
      <c r="AQ15" s="44">
        <f t="shared" si="28"/>
        <v>0</v>
      </c>
      <c r="AR15" s="44">
        <f t="shared" si="29"/>
        <v>0</v>
      </c>
      <c r="AS15" s="44">
        <f t="shared" si="30"/>
        <v>0</v>
      </c>
      <c r="AT15" s="44">
        <f t="shared" si="31"/>
        <v>-3.9999999989959178E-4</v>
      </c>
      <c r="AU15" s="61">
        <f t="shared" si="32"/>
        <v>-3.9999999989959178E-4</v>
      </c>
      <c r="AV15" s="44">
        <f t="shared" si="33"/>
        <v>2.5571360069420734E-6</v>
      </c>
      <c r="AY15" s="44"/>
      <c r="AZ15" s="44"/>
      <c r="BA15" s="44"/>
      <c r="BB15" s="44"/>
      <c r="BC15" s="44"/>
      <c r="BD15" s="44"/>
      <c r="BE15" s="44"/>
      <c r="BF15" s="44"/>
      <c r="BG15" s="44"/>
    </row>
    <row r="16" spans="2:59" hidden="1" x14ac:dyDescent="0.25">
      <c r="B16" s="43" t="s">
        <v>134</v>
      </c>
      <c r="C16" s="88" t="s">
        <v>11</v>
      </c>
      <c r="D16" s="47" t="s">
        <v>10</v>
      </c>
      <c r="E16" s="47">
        <v>220</v>
      </c>
      <c r="F16" s="47" t="s">
        <v>137</v>
      </c>
      <c r="G16" s="25" t="s">
        <v>154</v>
      </c>
      <c r="H16" s="26">
        <v>42736</v>
      </c>
      <c r="I16" s="26">
        <v>50040</v>
      </c>
      <c r="J16" s="16" t="str">
        <f t="shared" si="4"/>
        <v>Diego de Almagro 220</v>
      </c>
      <c r="K16" s="44">
        <f t="shared" si="5"/>
        <v>0</v>
      </c>
      <c r="L16" s="44">
        <f t="shared" si="6"/>
        <v>47.294980921631932</v>
      </c>
      <c r="M16" s="56">
        <f t="shared" si="7"/>
        <v>0</v>
      </c>
      <c r="N16" s="56">
        <f t="shared" si="8"/>
        <v>13.628</v>
      </c>
      <c r="O16" s="45">
        <f t="shared" si="9"/>
        <v>644.53599999999994</v>
      </c>
      <c r="P16" s="45">
        <f t="shared" si="10"/>
        <v>47.294980921631932</v>
      </c>
      <c r="S16" s="48">
        <f t="shared" si="11"/>
        <v>0</v>
      </c>
      <c r="T16" s="48">
        <f t="shared" si="12"/>
        <v>47.294980921631932</v>
      </c>
      <c r="U16" s="48">
        <f>('[1]FACTURACION SEP17'!L88)/1000</f>
        <v>0</v>
      </c>
      <c r="V16" s="48">
        <f>('[1]FACTURACION SEP17'!K88)/1000</f>
        <v>13.628</v>
      </c>
      <c r="W16" s="48">
        <f>('[1]FACTURACION SEP17'!P88)/1000</f>
        <v>0</v>
      </c>
      <c r="X16" s="48">
        <f>('[1]FACTURACION SEP17'!O88)/1000</f>
        <v>644.53599999999994</v>
      </c>
      <c r="Y16" s="48">
        <f>('[1]FACTURACION SEP17'!Q88)/1000</f>
        <v>3.0859999999999999</v>
      </c>
      <c r="Z16" s="48">
        <f t="shared" si="13"/>
        <v>644.53599999999994</v>
      </c>
      <c r="AA16" s="48">
        <f t="shared" si="14"/>
        <v>47.294980921631932</v>
      </c>
      <c r="AD16" s="44">
        <f>+INDEX([2]Precios!$B$9:$H$28,MATCH($J16,[2]Precios!$B$9:$B$28,0),7)</f>
        <v>5665.6243999999997</v>
      </c>
      <c r="AE16" s="44">
        <f>+INDEX([2]Precios!$B$9:$H$28,MATCH($J16,[2]Precios!$B$9:$B$28,0),6)</f>
        <v>47.295000000000002</v>
      </c>
      <c r="AF16" s="68">
        <f t="shared" si="20"/>
        <v>0</v>
      </c>
      <c r="AG16" s="68">
        <f t="shared" si="21"/>
        <v>13.628</v>
      </c>
      <c r="AH16" s="68">
        <f t="shared" si="22"/>
        <v>0</v>
      </c>
      <c r="AI16" s="68">
        <f t="shared" si="23"/>
        <v>644.53626000000008</v>
      </c>
      <c r="AJ16" s="68"/>
      <c r="AK16" s="69">
        <f t="shared" si="24"/>
        <v>644.53626000000008</v>
      </c>
      <c r="AL16" s="69">
        <f t="shared" si="25"/>
        <v>47.295000000000009</v>
      </c>
      <c r="AO16" s="44">
        <f t="shared" si="26"/>
        <v>-5665.6243999999997</v>
      </c>
      <c r="AP16" s="44">
        <f t="shared" si="27"/>
        <v>-1.9078368069358476E-5</v>
      </c>
      <c r="AQ16" s="44">
        <f t="shared" si="28"/>
        <v>0</v>
      </c>
      <c r="AR16" s="44">
        <f t="shared" si="29"/>
        <v>0</v>
      </c>
      <c r="AS16" s="44">
        <f t="shared" si="30"/>
        <v>0</v>
      </c>
      <c r="AT16" s="44">
        <f t="shared" si="31"/>
        <v>2.6000000013937097E-4</v>
      </c>
      <c r="AU16" s="61">
        <f t="shared" si="32"/>
        <v>2.6000000013937097E-4</v>
      </c>
      <c r="AV16" s="44">
        <f t="shared" si="33"/>
        <v>-1.9078368076463903E-5</v>
      </c>
      <c r="AY16" s="44"/>
      <c r="AZ16" s="44"/>
      <c r="BA16" s="44"/>
      <c r="BB16" s="44"/>
      <c r="BC16" s="44"/>
      <c r="BD16" s="44"/>
      <c r="BE16" s="44"/>
      <c r="BF16" s="44"/>
      <c r="BG16" s="44"/>
    </row>
    <row r="17" spans="2:59" hidden="1" x14ac:dyDescent="0.25">
      <c r="B17" s="43" t="s">
        <v>134</v>
      </c>
      <c r="C17" s="88" t="s">
        <v>11</v>
      </c>
      <c r="D17" s="47" t="s">
        <v>13</v>
      </c>
      <c r="E17" s="47">
        <v>220</v>
      </c>
      <c r="F17" s="47" t="s">
        <v>137</v>
      </c>
      <c r="G17" s="25" t="s">
        <v>154</v>
      </c>
      <c r="H17" s="26">
        <v>42736</v>
      </c>
      <c r="I17" s="26">
        <v>50040</v>
      </c>
      <c r="J17" s="16" t="str">
        <f t="shared" si="4"/>
        <v>Maitencillo 220</v>
      </c>
      <c r="K17" s="44">
        <f t="shared" si="5"/>
        <v>0</v>
      </c>
      <c r="L17" s="44">
        <f t="shared" si="6"/>
        <v>46.392012948957664</v>
      </c>
      <c r="M17" s="56">
        <f t="shared" si="7"/>
        <v>0</v>
      </c>
      <c r="N17" s="56">
        <f t="shared" si="8"/>
        <v>35.832999999999998</v>
      </c>
      <c r="O17" s="45">
        <f t="shared" si="9"/>
        <v>1662.3649999999998</v>
      </c>
      <c r="P17" s="45">
        <f t="shared" si="10"/>
        <v>46.392012948957664</v>
      </c>
      <c r="S17" s="48">
        <f t="shared" si="11"/>
        <v>0</v>
      </c>
      <c r="T17" s="48">
        <f t="shared" si="12"/>
        <v>46.392012948957664</v>
      </c>
      <c r="U17" s="48">
        <f>('[1]FACTURACION SEP17'!L89)/1000</f>
        <v>0</v>
      </c>
      <c r="V17" s="48">
        <f>('[1]FACTURACION SEP17'!K89)/1000</f>
        <v>35.832999999999998</v>
      </c>
      <c r="W17" s="48">
        <f>('[1]FACTURACION SEP17'!P89)/1000</f>
        <v>0</v>
      </c>
      <c r="X17" s="48">
        <f>('[1]FACTURACION SEP17'!O89)/1000</f>
        <v>1662.365</v>
      </c>
      <c r="Y17" s="48">
        <f>('[1]FACTURACION SEP17'!Q89)/1000</f>
        <v>3.6139999999999999</v>
      </c>
      <c r="Z17" s="48">
        <f t="shared" si="13"/>
        <v>1662.3649999999998</v>
      </c>
      <c r="AA17" s="48">
        <f t="shared" si="14"/>
        <v>46.392012948957664</v>
      </c>
      <c r="AD17" s="44">
        <f>+INDEX([2]Precios!$B$9:$H$28,MATCH($J17,[2]Precios!$B$9:$B$28,0),7)</f>
        <v>5628.4650000000001</v>
      </c>
      <c r="AE17" s="44">
        <f>+INDEX([2]Precios!$B$9:$H$28,MATCH($J17,[2]Precios!$B$9:$B$28,0),6)</f>
        <v>46.392000000000003</v>
      </c>
      <c r="AF17" s="68">
        <f t="shared" si="20"/>
        <v>0</v>
      </c>
      <c r="AG17" s="68">
        <f t="shared" si="21"/>
        <v>35.832999999999998</v>
      </c>
      <c r="AH17" s="68">
        <f t="shared" si="22"/>
        <v>0</v>
      </c>
      <c r="AI17" s="68">
        <f t="shared" si="23"/>
        <v>1662.364536</v>
      </c>
      <c r="AJ17" s="68"/>
      <c r="AK17" s="69">
        <f t="shared" si="24"/>
        <v>1662.364536</v>
      </c>
      <c r="AL17" s="69">
        <f t="shared" si="25"/>
        <v>46.392000000000003</v>
      </c>
      <c r="AO17" s="44">
        <f t="shared" si="26"/>
        <v>-5628.4650000000001</v>
      </c>
      <c r="AP17" s="44">
        <f t="shared" si="27"/>
        <v>1.2948957660796623E-5</v>
      </c>
      <c r="AQ17" s="44">
        <f t="shared" si="28"/>
        <v>0</v>
      </c>
      <c r="AR17" s="44">
        <f t="shared" si="29"/>
        <v>0</v>
      </c>
      <c r="AS17" s="44">
        <f t="shared" si="30"/>
        <v>0</v>
      </c>
      <c r="AT17" s="44">
        <f t="shared" si="31"/>
        <v>-4.6399999973800732E-4</v>
      </c>
      <c r="AU17" s="61">
        <f t="shared" si="32"/>
        <v>-4.6399999973800732E-4</v>
      </c>
      <c r="AV17" s="44">
        <f t="shared" si="33"/>
        <v>1.2948957660796623E-5</v>
      </c>
      <c r="AY17" s="44"/>
      <c r="AZ17" s="44"/>
      <c r="BA17" s="44"/>
      <c r="BB17" s="44"/>
      <c r="BC17" s="44"/>
      <c r="BD17" s="44"/>
      <c r="BE17" s="44"/>
      <c r="BF17" s="44"/>
      <c r="BG17" s="44"/>
    </row>
    <row r="18" spans="2:59" hidden="1" x14ac:dyDescent="0.25">
      <c r="B18" s="43" t="s">
        <v>134</v>
      </c>
      <c r="C18" s="88" t="s">
        <v>11</v>
      </c>
      <c r="D18" s="47" t="s">
        <v>135</v>
      </c>
      <c r="E18" s="47">
        <v>220</v>
      </c>
      <c r="F18" s="47" t="s">
        <v>137</v>
      </c>
      <c r="G18" s="25" t="s">
        <v>154</v>
      </c>
      <c r="H18" s="26">
        <v>42736</v>
      </c>
      <c r="I18" s="26">
        <v>50040</v>
      </c>
      <c r="J18" s="16" t="str">
        <f t="shared" si="4"/>
        <v>Pan de Azucar 220</v>
      </c>
      <c r="K18" s="44">
        <f t="shared" si="5"/>
        <v>0</v>
      </c>
      <c r="L18" s="44">
        <f t="shared" si="6"/>
        <v>53.297752808988768</v>
      </c>
      <c r="M18" s="56">
        <f t="shared" si="7"/>
        <v>0</v>
      </c>
      <c r="N18" s="56">
        <f t="shared" si="8"/>
        <v>0.17799999999999999</v>
      </c>
      <c r="O18" s="45">
        <f t="shared" si="9"/>
        <v>9.4870000000000001</v>
      </c>
      <c r="P18" s="45">
        <f t="shared" si="10"/>
        <v>53.297752808988768</v>
      </c>
      <c r="S18" s="48">
        <f t="shared" si="11"/>
        <v>0</v>
      </c>
      <c r="T18" s="48">
        <f t="shared" si="12"/>
        <v>53.297752808988768</v>
      </c>
      <c r="U18" s="48">
        <f>('[1]FACTURACION SEP17'!L90)/1000</f>
        <v>0</v>
      </c>
      <c r="V18" s="48">
        <f>('[1]FACTURACION SEP17'!K90)/1000</f>
        <v>0.17799999999999999</v>
      </c>
      <c r="W18" s="48">
        <f>('[1]FACTURACION SEP17'!P90)/1000</f>
        <v>0</v>
      </c>
      <c r="X18" s="48">
        <f>('[1]FACTURACION SEP17'!O90)/1000</f>
        <v>9.4870000000000001</v>
      </c>
      <c r="Y18" s="48">
        <f>('[1]FACTURACION SEP17'!Q90)/1000</f>
        <v>3.7240000000000002</v>
      </c>
      <c r="Z18" s="48">
        <f t="shared" si="13"/>
        <v>9.4870000000000001</v>
      </c>
      <c r="AA18" s="48">
        <f t="shared" si="14"/>
        <v>53.297752808988768</v>
      </c>
      <c r="AD18" s="44">
        <f>+INDEX([2]Precios!$B$9:$H$28,MATCH($J18,[2]Precios!$B$9:$B$28,0),7)</f>
        <v>5537.8145000000004</v>
      </c>
      <c r="AE18" s="44">
        <f>+INDEX([2]Precios!$B$9:$H$28,MATCH($J18,[2]Precios!$B$9:$B$28,0),6)</f>
        <v>53.296999999999997</v>
      </c>
      <c r="AF18" s="68">
        <f t="shared" si="20"/>
        <v>0</v>
      </c>
      <c r="AG18" s="68">
        <f t="shared" si="21"/>
        <v>0.17799999999999999</v>
      </c>
      <c r="AH18" s="68">
        <f t="shared" si="22"/>
        <v>0</v>
      </c>
      <c r="AI18" s="68">
        <f t="shared" si="23"/>
        <v>9.4868659999999991</v>
      </c>
      <c r="AJ18" s="68"/>
      <c r="AK18" s="69">
        <f t="shared" si="24"/>
        <v>9.4868659999999991</v>
      </c>
      <c r="AL18" s="69">
        <f t="shared" si="25"/>
        <v>53.296999999999997</v>
      </c>
      <c r="AO18" s="44">
        <f t="shared" si="26"/>
        <v>-5537.8145000000004</v>
      </c>
      <c r="AP18" s="44">
        <f t="shared" si="27"/>
        <v>7.528089887713918E-4</v>
      </c>
      <c r="AQ18" s="44">
        <f t="shared" si="28"/>
        <v>0</v>
      </c>
      <c r="AR18" s="44">
        <f t="shared" si="29"/>
        <v>0</v>
      </c>
      <c r="AS18" s="44">
        <f t="shared" si="30"/>
        <v>0</v>
      </c>
      <c r="AT18" s="44">
        <f t="shared" si="31"/>
        <v>-1.3400000000096668E-4</v>
      </c>
      <c r="AU18" s="61">
        <f t="shared" si="32"/>
        <v>-1.3400000000096668E-4</v>
      </c>
      <c r="AV18" s="44">
        <f t="shared" si="33"/>
        <v>7.528089887713918E-4</v>
      </c>
      <c r="AY18" s="44"/>
      <c r="AZ18" s="44"/>
      <c r="BA18" s="44"/>
      <c r="BB18" s="44"/>
      <c r="BD18" s="44"/>
      <c r="BE18" s="44"/>
      <c r="BF18" s="44"/>
      <c r="BG18" s="44"/>
    </row>
    <row r="19" spans="2:59" hidden="1" x14ac:dyDescent="0.25">
      <c r="B19" s="43" t="s">
        <v>134</v>
      </c>
      <c r="C19" s="88" t="s">
        <v>11</v>
      </c>
      <c r="D19" s="47" t="s">
        <v>12</v>
      </c>
      <c r="E19" s="47">
        <v>220</v>
      </c>
      <c r="F19" s="47" t="s">
        <v>137</v>
      </c>
      <c r="G19" s="25" t="s">
        <v>155</v>
      </c>
      <c r="H19" s="26">
        <v>42736</v>
      </c>
      <c r="I19" s="26">
        <v>50040</v>
      </c>
      <c r="J19" s="16" t="str">
        <f t="shared" si="4"/>
        <v>Cardones 220</v>
      </c>
      <c r="K19" s="44">
        <f t="shared" si="5"/>
        <v>5903.9205526770293</v>
      </c>
      <c r="L19" s="44">
        <f t="shared" si="6"/>
        <v>47.63199897938933</v>
      </c>
      <c r="M19" s="56">
        <f t="shared" si="7"/>
        <v>0.57899999999999996</v>
      </c>
      <c r="N19" s="56">
        <f t="shared" si="8"/>
        <v>70.546000000000006</v>
      </c>
      <c r="O19" s="45">
        <f t="shared" si="9"/>
        <v>6778.6170000000002</v>
      </c>
      <c r="P19" s="45">
        <f t="shared" si="10"/>
        <v>96.087900093555973</v>
      </c>
      <c r="S19" s="48">
        <f t="shared" si="11"/>
        <v>5903.9205526770293</v>
      </c>
      <c r="T19" s="48">
        <f t="shared" si="12"/>
        <v>47.63199897938933</v>
      </c>
      <c r="U19" s="48">
        <f>('[1]FACTURACION SEP17'!L111)/1000</f>
        <v>0.57899999999999996</v>
      </c>
      <c r="V19" s="48">
        <f>('[1]FACTURACION SEP17'!K111)/1000</f>
        <v>70.546000000000006</v>
      </c>
      <c r="W19" s="48">
        <f>('[1]FACTURACION SEP17'!P111)/1000</f>
        <v>3418.37</v>
      </c>
      <c r="X19" s="48">
        <f>('[1]FACTURACION SEP17'!O111)/1000</f>
        <v>3360.2469999999998</v>
      </c>
      <c r="Y19" s="48">
        <f>('[1]FACTURACION SEP17'!Q111)/1000</f>
        <v>0</v>
      </c>
      <c r="Z19" s="48">
        <f t="shared" si="13"/>
        <v>6778.6170000000002</v>
      </c>
      <c r="AA19" s="48">
        <f t="shared" si="14"/>
        <v>96.087900093555973</v>
      </c>
      <c r="AD19" s="44">
        <f>+INDEX([2]Precios!$B$9:$H$28,MATCH($J19,[2]Precios!$B$9:$B$28,0),7)</f>
        <v>5903.9209000000001</v>
      </c>
      <c r="AE19" s="44">
        <f>+INDEX([2]Precios!$B$9:$H$28,MATCH($J19,[2]Precios!$B$9:$B$28,0),6)</f>
        <v>47.631999999999998</v>
      </c>
      <c r="AF19" s="68">
        <f t="shared" si="20"/>
        <v>0.57899999999999996</v>
      </c>
      <c r="AG19" s="68">
        <f t="shared" si="21"/>
        <v>70.546000000000006</v>
      </c>
      <c r="AH19" s="68">
        <f t="shared" si="22"/>
        <v>3418.3702010999996</v>
      </c>
      <c r="AI19" s="68">
        <f t="shared" si="23"/>
        <v>3360.2470720000001</v>
      </c>
      <c r="AJ19" s="68"/>
      <c r="AK19" s="69">
        <f t="shared" si="24"/>
        <v>6778.6172730999997</v>
      </c>
      <c r="AL19" s="69">
        <f t="shared" si="25"/>
        <v>96.087903964788921</v>
      </c>
      <c r="AO19" s="44">
        <f t="shared" si="26"/>
        <v>-3.4732297081063734E-4</v>
      </c>
      <c r="AP19" s="44">
        <f t="shared" si="27"/>
        <v>-1.0206106679788718E-6</v>
      </c>
      <c r="AQ19" s="44">
        <f t="shared" si="28"/>
        <v>0</v>
      </c>
      <c r="AR19" s="44">
        <f t="shared" si="29"/>
        <v>0</v>
      </c>
      <c r="AS19" s="44">
        <f t="shared" si="30"/>
        <v>2.0109999968553893E-4</v>
      </c>
      <c r="AT19" s="44">
        <f t="shared" si="31"/>
        <v>7.2000000272964826E-5</v>
      </c>
      <c r="AU19" s="61">
        <f t="shared" si="32"/>
        <v>2.7309999950375641E-4</v>
      </c>
      <c r="AV19" s="44">
        <f t="shared" si="33"/>
        <v>-3.8712329484269503E-6</v>
      </c>
      <c r="AY19" s="44"/>
      <c r="AZ19" s="44"/>
      <c r="BA19" s="44"/>
      <c r="BB19" s="44"/>
      <c r="BC19" s="44">
        <f>[3]RESUMEN!I35/1000</f>
        <v>-7.1529999999999996</v>
      </c>
      <c r="BD19" s="44">
        <f>[3]RESUMEN!H35/1000</f>
        <v>82.876999999999995</v>
      </c>
      <c r="BE19" s="44">
        <f>[3]RESUMEN!J35/1000</f>
        <v>2.7E-2</v>
      </c>
      <c r="BF19" s="44"/>
      <c r="BG19" s="44"/>
    </row>
    <row r="20" spans="2:59" hidden="1" x14ac:dyDescent="0.25">
      <c r="B20" s="43" t="s">
        <v>134</v>
      </c>
      <c r="C20" s="88" t="s">
        <v>11</v>
      </c>
      <c r="D20" s="47" t="s">
        <v>10</v>
      </c>
      <c r="E20" s="47">
        <v>220</v>
      </c>
      <c r="F20" s="47" t="s">
        <v>137</v>
      </c>
      <c r="G20" s="25" t="s">
        <v>155</v>
      </c>
      <c r="H20" s="26">
        <v>42736</v>
      </c>
      <c r="I20" s="26">
        <v>50040</v>
      </c>
      <c r="J20" s="16" t="str">
        <f t="shared" si="4"/>
        <v>Diego de Almagro 220</v>
      </c>
      <c r="K20" s="44">
        <f t="shared" si="5"/>
        <v>5665.6935483870975</v>
      </c>
      <c r="L20" s="44">
        <f t="shared" si="6"/>
        <v>47.294971105373172</v>
      </c>
      <c r="M20" s="56">
        <f t="shared" si="7"/>
        <v>6.2E-2</v>
      </c>
      <c r="N20" s="56">
        <f t="shared" si="8"/>
        <v>8.1329999999999991</v>
      </c>
      <c r="O20" s="45">
        <f t="shared" si="9"/>
        <v>735.923</v>
      </c>
      <c r="P20" s="45">
        <f t="shared" si="10"/>
        <v>90.486044510020918</v>
      </c>
      <c r="S20" s="48">
        <f t="shared" si="11"/>
        <v>5665.6935483870975</v>
      </c>
      <c r="T20" s="48">
        <f t="shared" si="12"/>
        <v>47.294971105373172</v>
      </c>
      <c r="U20" s="48">
        <f>('[1]FACTURACION SEP17'!L112)/1000</f>
        <v>6.2E-2</v>
      </c>
      <c r="V20" s="48">
        <f>('[1]FACTURACION SEP17'!K112)/1000</f>
        <v>8.1329999999999991</v>
      </c>
      <c r="W20" s="48">
        <f>('[1]FACTURACION SEP17'!P112)/1000</f>
        <v>351.27300000000002</v>
      </c>
      <c r="X20" s="48">
        <f>('[1]FACTURACION SEP17'!O112)/1000</f>
        <v>384.65</v>
      </c>
      <c r="Y20" s="48">
        <f>('[1]FACTURACION SEP17'!Q112)/1000</f>
        <v>0.38600000000000001</v>
      </c>
      <c r="Z20" s="48">
        <f t="shared" si="13"/>
        <v>735.923</v>
      </c>
      <c r="AA20" s="48">
        <f t="shared" si="14"/>
        <v>90.486044510020918</v>
      </c>
      <c r="AD20" s="44">
        <f>+INDEX([2]Precios!$B$9:$H$28,MATCH($J20,[2]Precios!$B$9:$B$28,0),7)</f>
        <v>5665.6243999999997</v>
      </c>
      <c r="AE20" s="44">
        <f>+INDEX([2]Precios!$B$9:$H$28,MATCH($J20,[2]Precios!$B$9:$B$28,0),6)</f>
        <v>47.295000000000002</v>
      </c>
      <c r="AF20" s="68">
        <f t="shared" si="20"/>
        <v>6.2E-2</v>
      </c>
      <c r="AG20" s="68">
        <f t="shared" si="21"/>
        <v>8.1329999999999991</v>
      </c>
      <c r="AH20" s="68">
        <f t="shared" si="22"/>
        <v>351.2687128</v>
      </c>
      <c r="AI20" s="68">
        <f t="shared" si="23"/>
        <v>384.65023499999995</v>
      </c>
      <c r="AJ20" s="68"/>
      <c r="AK20" s="69">
        <f t="shared" si="24"/>
        <v>735.91894779999996</v>
      </c>
      <c r="AL20" s="69">
        <f t="shared" si="25"/>
        <v>90.485546268289681</v>
      </c>
      <c r="AO20" s="44">
        <f t="shared" si="26"/>
        <v>6.9148387097811792E-2</v>
      </c>
      <c r="AP20" s="44">
        <f t="shared" si="27"/>
        <v>-2.889462682986732E-5</v>
      </c>
      <c r="AQ20" s="44">
        <f t="shared" si="28"/>
        <v>0</v>
      </c>
      <c r="AR20" s="44">
        <f t="shared" si="29"/>
        <v>0</v>
      </c>
      <c r="AS20" s="44">
        <f t="shared" si="30"/>
        <v>-4.2872000000215849E-3</v>
      </c>
      <c r="AT20" s="44">
        <f t="shared" si="31"/>
        <v>2.3499999997511622E-4</v>
      </c>
      <c r="AU20" s="61">
        <f t="shared" si="32"/>
        <v>-4.0522000000464686E-3</v>
      </c>
      <c r="AV20" s="44">
        <f t="shared" si="33"/>
        <v>4.982417312362486E-4</v>
      </c>
      <c r="AY20" s="44"/>
      <c r="AZ20" s="44"/>
      <c r="BA20" s="44"/>
      <c r="BB20" s="44"/>
      <c r="BC20" s="44"/>
      <c r="BD20" s="44"/>
      <c r="BE20" s="44"/>
      <c r="BF20" s="44"/>
      <c r="BG20" s="44"/>
    </row>
    <row r="21" spans="2:59" hidden="1" x14ac:dyDescent="0.25">
      <c r="B21" s="43" t="s">
        <v>134</v>
      </c>
      <c r="C21" s="88" t="s">
        <v>11</v>
      </c>
      <c r="D21" s="47" t="s">
        <v>13</v>
      </c>
      <c r="E21" s="47">
        <v>220</v>
      </c>
      <c r="F21" s="47" t="s">
        <v>137</v>
      </c>
      <c r="G21" s="25" t="s">
        <v>155</v>
      </c>
      <c r="H21" s="26">
        <v>42736</v>
      </c>
      <c r="I21" s="26">
        <v>50040</v>
      </c>
      <c r="J21" s="16" t="str">
        <f t="shared" si="4"/>
        <v>Maitencillo 220</v>
      </c>
      <c r="K21" s="44">
        <f t="shared" si="5"/>
        <v>5628.4651162790706</v>
      </c>
      <c r="L21" s="44">
        <f t="shared" si="6"/>
        <v>46.391993526275705</v>
      </c>
      <c r="M21" s="56">
        <f t="shared" si="7"/>
        <v>0.17199999999999999</v>
      </c>
      <c r="N21" s="56">
        <f t="shared" si="8"/>
        <v>21.007999999999999</v>
      </c>
      <c r="O21" s="45">
        <f t="shared" si="9"/>
        <v>1942.6990000000001</v>
      </c>
      <c r="P21" s="45">
        <f t="shared" si="10"/>
        <v>92.474247905559793</v>
      </c>
      <c r="S21" s="48">
        <f t="shared" si="11"/>
        <v>5628.4651162790706</v>
      </c>
      <c r="T21" s="48">
        <f t="shared" si="12"/>
        <v>46.391993526275705</v>
      </c>
      <c r="U21" s="48">
        <f>('[1]FACTURACION SEP17'!L113)/1000</f>
        <v>0.17199999999999999</v>
      </c>
      <c r="V21" s="48">
        <f>('[1]FACTURACION SEP17'!K113)/1000</f>
        <v>21.007999999999999</v>
      </c>
      <c r="W21" s="48">
        <f>('[1]FACTURACION SEP17'!P113)/1000</f>
        <v>968.096</v>
      </c>
      <c r="X21" s="48">
        <f>('[1]FACTURACION SEP17'!O113)/1000</f>
        <v>974.60299999999995</v>
      </c>
      <c r="Y21" s="48">
        <f>('[1]FACTURACION SEP17'!Q113)/1000</f>
        <v>0</v>
      </c>
      <c r="Z21" s="48">
        <f t="shared" si="13"/>
        <v>1942.6990000000001</v>
      </c>
      <c r="AA21" s="48">
        <f t="shared" si="14"/>
        <v>92.474247905559793</v>
      </c>
      <c r="AD21" s="44">
        <f>+INDEX([2]Precios!$B$9:$H$28,MATCH($J21,[2]Precios!$B$9:$B$28,0),7)</f>
        <v>5628.4650000000001</v>
      </c>
      <c r="AE21" s="44">
        <f>+INDEX([2]Precios!$B$9:$H$28,MATCH($J21,[2]Precios!$B$9:$B$28,0),6)</f>
        <v>46.392000000000003</v>
      </c>
      <c r="AF21" s="68">
        <f t="shared" si="20"/>
        <v>0.17199999999999999</v>
      </c>
      <c r="AG21" s="68">
        <f t="shared" si="21"/>
        <v>21.007999999999999</v>
      </c>
      <c r="AH21" s="68">
        <f t="shared" si="22"/>
        <v>968.09597999999994</v>
      </c>
      <c r="AI21" s="68">
        <f t="shared" si="23"/>
        <v>974.60313600000006</v>
      </c>
      <c r="AJ21" s="68"/>
      <c r="AK21" s="69">
        <f t="shared" si="24"/>
        <v>1942.699116</v>
      </c>
      <c r="AL21" s="69">
        <f t="shared" si="25"/>
        <v>92.474253427265808</v>
      </c>
      <c r="AO21" s="44">
        <f t="shared" si="26"/>
        <v>1.1627907042566221E-4</v>
      </c>
      <c r="AP21" s="44">
        <f t="shared" si="27"/>
        <v>-6.4737242979617804E-6</v>
      </c>
      <c r="AQ21" s="44">
        <f t="shared" si="28"/>
        <v>0</v>
      </c>
      <c r="AR21" s="44">
        <f t="shared" si="29"/>
        <v>0</v>
      </c>
      <c r="AS21" s="44">
        <f t="shared" si="30"/>
        <v>-2.000000017687853E-5</v>
      </c>
      <c r="AT21" s="44">
        <f t="shared" si="31"/>
        <v>1.3600000011138036E-4</v>
      </c>
      <c r="AU21" s="61">
        <f t="shared" si="32"/>
        <v>1.1599999993450183E-4</v>
      </c>
      <c r="AV21" s="44">
        <f t="shared" si="33"/>
        <v>-5.521706015088057E-6</v>
      </c>
      <c r="AY21" s="44"/>
      <c r="AZ21" s="44"/>
      <c r="BA21" s="44"/>
      <c r="BB21" s="44"/>
      <c r="BC21" s="44"/>
      <c r="BD21" s="44"/>
      <c r="BE21" s="44"/>
      <c r="BF21" s="44"/>
      <c r="BG21" s="44"/>
    </row>
    <row r="22" spans="2:59" hidden="1" x14ac:dyDescent="0.25">
      <c r="B22" s="43" t="s">
        <v>134</v>
      </c>
      <c r="C22" s="88" t="s">
        <v>11</v>
      </c>
      <c r="D22" s="47" t="s">
        <v>135</v>
      </c>
      <c r="E22" s="47">
        <v>220</v>
      </c>
      <c r="F22" s="47" t="s">
        <v>137</v>
      </c>
      <c r="G22" s="25" t="s">
        <v>155</v>
      </c>
      <c r="H22" s="26">
        <v>42736</v>
      </c>
      <c r="I22" s="26">
        <v>50040</v>
      </c>
      <c r="J22" s="16" t="str">
        <f t="shared" si="4"/>
        <v>Pan de Azucar 220</v>
      </c>
      <c r="K22" s="44">
        <f t="shared" si="5"/>
        <v>5538</v>
      </c>
      <c r="L22" s="44">
        <f t="shared" si="6"/>
        <v>53.298780487804876</v>
      </c>
      <c r="M22" s="56">
        <f t="shared" si="7"/>
        <v>1E-3</v>
      </c>
      <c r="N22" s="56">
        <f t="shared" si="8"/>
        <v>0.16400000000000001</v>
      </c>
      <c r="O22" s="45">
        <f t="shared" si="9"/>
        <v>14.279</v>
      </c>
      <c r="P22" s="45">
        <f t="shared" si="10"/>
        <v>87.067073170731703</v>
      </c>
      <c r="S22" s="48">
        <f t="shared" si="11"/>
        <v>5538</v>
      </c>
      <c r="T22" s="48">
        <f t="shared" si="12"/>
        <v>53.298780487804876</v>
      </c>
      <c r="U22" s="48">
        <f>('[1]FACTURACION SEP17'!L114)/1000</f>
        <v>1E-3</v>
      </c>
      <c r="V22" s="48">
        <f>('[1]FACTURACION SEP17'!K114)/1000</f>
        <v>0.16400000000000001</v>
      </c>
      <c r="W22" s="48">
        <f>('[1]FACTURACION SEP17'!P114)/1000</f>
        <v>5.5380000000000003</v>
      </c>
      <c r="X22" s="48">
        <f>('[1]FACTURACION SEP17'!O114)/1000</f>
        <v>8.7409999999999997</v>
      </c>
      <c r="Y22" s="48">
        <f>('[1]FACTURACION SEP17'!Q114)/1000</f>
        <v>2.4E-2</v>
      </c>
      <c r="Z22" s="48">
        <f t="shared" si="13"/>
        <v>14.279</v>
      </c>
      <c r="AA22" s="48">
        <f t="shared" si="14"/>
        <v>87.067073170731703</v>
      </c>
      <c r="AD22" s="44">
        <f>+INDEX([2]Precios!$B$9:$H$28,MATCH($J22,[2]Precios!$B$9:$B$28,0),7)</f>
        <v>5537.8145000000004</v>
      </c>
      <c r="AE22" s="44">
        <f>+INDEX([2]Precios!$B$9:$H$28,MATCH($J22,[2]Precios!$B$9:$B$28,0),6)</f>
        <v>53.296999999999997</v>
      </c>
      <c r="AF22" s="68">
        <f t="shared" si="20"/>
        <v>1E-3</v>
      </c>
      <c r="AG22" s="68">
        <f t="shared" si="21"/>
        <v>0.16400000000000001</v>
      </c>
      <c r="AH22" s="68">
        <f t="shared" si="22"/>
        <v>5.5378145000000005</v>
      </c>
      <c r="AI22" s="68">
        <f t="shared" si="23"/>
        <v>8.7407079999999997</v>
      </c>
      <c r="AJ22" s="68"/>
      <c r="AK22" s="69">
        <f t="shared" si="24"/>
        <v>14.278522500000001</v>
      </c>
      <c r="AL22" s="69">
        <f t="shared" si="25"/>
        <v>87.064161585365852</v>
      </c>
      <c r="AO22" s="44">
        <f t="shared" si="26"/>
        <v>0.18549999999959255</v>
      </c>
      <c r="AP22" s="44">
        <f t="shared" si="27"/>
        <v>1.7804878048792716E-3</v>
      </c>
      <c r="AQ22" s="44">
        <f t="shared" si="28"/>
        <v>0</v>
      </c>
      <c r="AR22" s="44">
        <f t="shared" si="29"/>
        <v>0</v>
      </c>
      <c r="AS22" s="44">
        <f t="shared" si="30"/>
        <v>-1.8549999999972755E-4</v>
      </c>
      <c r="AT22" s="44">
        <f t="shared" si="31"/>
        <v>-2.9199999999995896E-4</v>
      </c>
      <c r="AU22" s="61">
        <f t="shared" si="32"/>
        <v>-4.7749999999879833E-4</v>
      </c>
      <c r="AV22" s="44">
        <f t="shared" si="33"/>
        <v>2.9115853658510105E-3</v>
      </c>
      <c r="AY22" s="44"/>
      <c r="AZ22" s="44"/>
      <c r="BA22" s="44"/>
      <c r="BB22" s="44"/>
      <c r="BC22" s="44"/>
      <c r="BD22" s="44"/>
      <c r="BE22" s="44"/>
      <c r="BF22" s="44"/>
      <c r="BG22" s="44"/>
    </row>
    <row r="23" spans="2:59" hidden="1" x14ac:dyDescent="0.25">
      <c r="B23" s="43" t="s">
        <v>134</v>
      </c>
      <c r="C23" s="88" t="s">
        <v>144</v>
      </c>
      <c r="D23" s="47" t="s">
        <v>132</v>
      </c>
      <c r="E23" s="47">
        <v>220</v>
      </c>
      <c r="F23" s="47" t="s">
        <v>137</v>
      </c>
      <c r="G23" s="25" t="s">
        <v>153</v>
      </c>
      <c r="H23" s="26">
        <v>42736</v>
      </c>
      <c r="I23" s="26">
        <v>50040</v>
      </c>
      <c r="J23" s="16" t="str">
        <f t="shared" si="4"/>
        <v>Los Vilos 220</v>
      </c>
      <c r="K23" s="44">
        <f t="shared" si="5"/>
        <v>0</v>
      </c>
      <c r="L23" s="44">
        <f t="shared" si="6"/>
        <v>55.033999948445356</v>
      </c>
      <c r="M23" s="56">
        <f t="shared" si="7"/>
        <v>0</v>
      </c>
      <c r="N23" s="56">
        <f t="shared" si="8"/>
        <v>2948.328</v>
      </c>
      <c r="O23" s="45">
        <f t="shared" si="9"/>
        <v>162258.283</v>
      </c>
      <c r="P23" s="45">
        <f t="shared" si="10"/>
        <v>55.033999948445356</v>
      </c>
      <c r="S23" s="48">
        <f t="shared" si="11"/>
        <v>0</v>
      </c>
      <c r="T23" s="48">
        <f t="shared" si="12"/>
        <v>55.033999948445356</v>
      </c>
      <c r="U23" s="48">
        <f>('[4]FACTURACION SEP17'!L20)/1000</f>
        <v>0</v>
      </c>
      <c r="V23" s="48">
        <f>('[4]FACTURACION SEP17'!K20)/1000</f>
        <v>2948.328</v>
      </c>
      <c r="W23" s="48">
        <f>('[4]FACTURACION SEP17'!P20)/1000</f>
        <v>0</v>
      </c>
      <c r="X23" s="48">
        <f>('[4]FACTURACION SEP17'!O20)/1000</f>
        <v>162258.283</v>
      </c>
      <c r="Y23" s="48">
        <f>('[4]FACTURACION SEP17'!Q20)/1000</f>
        <v>0</v>
      </c>
      <c r="Z23" s="48">
        <f t="shared" si="13"/>
        <v>162258.283</v>
      </c>
      <c r="AA23" s="48">
        <f t="shared" si="14"/>
        <v>55.033999948445356</v>
      </c>
      <c r="AD23" s="44">
        <f>+INDEX([2]Precios!$B$9:$H$28,MATCH($J23,[2]Precios!$B$9:$B$28,0),7)</f>
        <v>5700.6018999999997</v>
      </c>
      <c r="AE23" s="44">
        <f>+INDEX([2]Precios!$B$9:$H$28,MATCH($J23,[2]Precios!$B$9:$B$28,0),6)</f>
        <v>55.033999999999999</v>
      </c>
      <c r="AF23" s="68">
        <f t="shared" si="20"/>
        <v>0</v>
      </c>
      <c r="AG23" s="68">
        <f t="shared" si="21"/>
        <v>2948.328</v>
      </c>
      <c r="AH23" s="68">
        <f t="shared" si="22"/>
        <v>0</v>
      </c>
      <c r="AI23" s="68">
        <f t="shared" si="23"/>
        <v>162258.28315199999</v>
      </c>
      <c r="AJ23" s="68"/>
      <c r="AK23" s="69">
        <f t="shared" si="24"/>
        <v>162258.28315199999</v>
      </c>
      <c r="AL23" s="69">
        <f t="shared" si="25"/>
        <v>55.033999999999999</v>
      </c>
      <c r="AO23" s="44">
        <f t="shared" si="26"/>
        <v>-5700.6018999999997</v>
      </c>
      <c r="AP23" s="44">
        <f t="shared" si="27"/>
        <v>-5.1554643221152219E-8</v>
      </c>
      <c r="AQ23" s="44">
        <f t="shared" si="28"/>
        <v>0</v>
      </c>
      <c r="AR23" s="44">
        <f t="shared" si="29"/>
        <v>0</v>
      </c>
      <c r="AS23" s="44">
        <f t="shared" si="30"/>
        <v>0</v>
      </c>
      <c r="AT23" s="44">
        <f t="shared" si="31"/>
        <v>1.5199999324977398E-4</v>
      </c>
      <c r="AU23" s="61">
        <f t="shared" si="32"/>
        <v>1.5199999324977398E-4</v>
      </c>
      <c r="AV23" s="44">
        <f t="shared" si="33"/>
        <v>-5.1554643221152219E-8</v>
      </c>
      <c r="AY23" s="44"/>
      <c r="AZ23" s="44"/>
      <c r="BA23" s="44"/>
      <c r="BB23" s="44"/>
      <c r="BC23" s="44"/>
      <c r="BD23" s="44"/>
      <c r="BE23" s="44"/>
      <c r="BF23" s="44"/>
      <c r="BG23" s="44"/>
    </row>
    <row r="24" spans="2:59" hidden="1" x14ac:dyDescent="0.25">
      <c r="B24" s="43" t="s">
        <v>134</v>
      </c>
      <c r="C24" s="88" t="s">
        <v>144</v>
      </c>
      <c r="D24" s="47" t="s">
        <v>13</v>
      </c>
      <c r="E24" s="47">
        <v>220</v>
      </c>
      <c r="F24" s="47" t="s">
        <v>137</v>
      </c>
      <c r="G24" s="25" t="s">
        <v>153</v>
      </c>
      <c r="H24" s="26">
        <v>42736</v>
      </c>
      <c r="I24" s="26">
        <v>50040</v>
      </c>
      <c r="J24" s="16" t="str">
        <f t="shared" si="4"/>
        <v>Maitencillo 220</v>
      </c>
      <c r="K24" s="44">
        <f t="shared" si="5"/>
        <v>0</v>
      </c>
      <c r="L24" s="44">
        <f t="shared" si="6"/>
        <v>46.391999170963629</v>
      </c>
      <c r="M24" s="56">
        <f t="shared" si="7"/>
        <v>0</v>
      </c>
      <c r="N24" s="56">
        <f t="shared" si="8"/>
        <v>318.44200000000001</v>
      </c>
      <c r="O24" s="45">
        <f t="shared" si="9"/>
        <v>14773.161</v>
      </c>
      <c r="P24" s="45">
        <f t="shared" si="10"/>
        <v>46.391999170963629</v>
      </c>
      <c r="S24" s="48">
        <f t="shared" si="11"/>
        <v>0</v>
      </c>
      <c r="T24" s="48">
        <f t="shared" si="12"/>
        <v>46.391999170963629</v>
      </c>
      <c r="U24" s="48">
        <f>('[4]FACTURACION SEP17'!L21)/1000</f>
        <v>0</v>
      </c>
      <c r="V24" s="48">
        <f>('[4]FACTURACION SEP17'!K21)/1000</f>
        <v>318.44200000000001</v>
      </c>
      <c r="W24" s="48">
        <f>('[4]FACTURACION SEP17'!P21)/1000</f>
        <v>0</v>
      </c>
      <c r="X24" s="48">
        <f>('[4]FACTURACION SEP17'!O21)/1000</f>
        <v>14773.161</v>
      </c>
      <c r="Y24" s="48">
        <f>('[4]FACTURACION SEP17'!Q21)/1000</f>
        <v>0</v>
      </c>
      <c r="Z24" s="48">
        <f t="shared" si="13"/>
        <v>14773.161</v>
      </c>
      <c r="AA24" s="48">
        <f t="shared" si="14"/>
        <v>46.391999170963629</v>
      </c>
      <c r="AD24" s="44">
        <f>+INDEX([2]Precios!$B$9:$H$28,MATCH($J24,[2]Precios!$B$9:$B$28,0),7)</f>
        <v>5628.4650000000001</v>
      </c>
      <c r="AE24" s="44">
        <f>+INDEX([2]Precios!$B$9:$H$28,MATCH($J24,[2]Precios!$B$9:$B$28,0),6)</f>
        <v>46.392000000000003</v>
      </c>
      <c r="AF24" s="68">
        <f t="shared" si="20"/>
        <v>0</v>
      </c>
      <c r="AG24" s="68">
        <f t="shared" si="21"/>
        <v>318.44200000000001</v>
      </c>
      <c r="AH24" s="68">
        <f t="shared" si="22"/>
        <v>0</v>
      </c>
      <c r="AI24" s="68">
        <f t="shared" si="23"/>
        <v>14773.161264000002</v>
      </c>
      <c r="AJ24" s="68"/>
      <c r="AK24" s="69">
        <f t="shared" si="24"/>
        <v>14773.161264000002</v>
      </c>
      <c r="AL24" s="69">
        <f t="shared" si="25"/>
        <v>46.392000000000003</v>
      </c>
      <c r="AO24" s="44">
        <f t="shared" si="26"/>
        <v>-5628.4650000000001</v>
      </c>
      <c r="AP24" s="44">
        <f t="shared" si="27"/>
        <v>-8.2903637377285122E-7</v>
      </c>
      <c r="AQ24" s="44">
        <f t="shared" si="28"/>
        <v>0</v>
      </c>
      <c r="AR24" s="44">
        <f t="shared" si="29"/>
        <v>0</v>
      </c>
      <c r="AS24" s="44">
        <f t="shared" si="30"/>
        <v>0</v>
      </c>
      <c r="AT24" s="44">
        <f t="shared" si="31"/>
        <v>2.6400000206194818E-4</v>
      </c>
      <c r="AU24" s="61">
        <f t="shared" si="32"/>
        <v>2.6400000206194818E-4</v>
      </c>
      <c r="AV24" s="44">
        <f t="shared" si="33"/>
        <v>-8.2903637377285122E-7</v>
      </c>
      <c r="AY24" s="44"/>
      <c r="AZ24" s="44"/>
      <c r="BA24" s="44"/>
      <c r="BB24" s="44"/>
      <c r="BC24" s="44"/>
      <c r="BD24" s="44"/>
      <c r="BE24" s="44"/>
      <c r="BF24" s="44"/>
      <c r="BG24" s="44"/>
    </row>
    <row r="25" spans="2:59" hidden="1" x14ac:dyDescent="0.25">
      <c r="B25" s="43" t="s">
        <v>134</v>
      </c>
      <c r="C25" s="88" t="s">
        <v>144</v>
      </c>
      <c r="D25" s="47" t="s">
        <v>133</v>
      </c>
      <c r="E25" s="47">
        <v>220</v>
      </c>
      <c r="F25" s="47" t="s">
        <v>137</v>
      </c>
      <c r="G25" s="25" t="s">
        <v>153</v>
      </c>
      <c r="H25" s="26">
        <v>42736</v>
      </c>
      <c r="I25" s="26">
        <v>50040</v>
      </c>
      <c r="J25" s="16" t="str">
        <f t="shared" si="4"/>
        <v>Nogales 220</v>
      </c>
      <c r="K25" s="44">
        <f t="shared" si="5"/>
        <v>0</v>
      </c>
      <c r="L25" s="44">
        <f t="shared" si="6"/>
        <v>53.793996833191827</v>
      </c>
      <c r="M25" s="56">
        <f t="shared" si="7"/>
        <v>0</v>
      </c>
      <c r="N25" s="56">
        <f t="shared" si="8"/>
        <v>87.153999999999996</v>
      </c>
      <c r="O25" s="45">
        <f t="shared" si="9"/>
        <v>4688.3620000000001</v>
      </c>
      <c r="P25" s="45">
        <f t="shared" si="10"/>
        <v>53.793996833191827</v>
      </c>
      <c r="S25" s="48">
        <f t="shared" si="11"/>
        <v>0</v>
      </c>
      <c r="T25" s="48">
        <f t="shared" si="12"/>
        <v>53.793996833191827</v>
      </c>
      <c r="U25" s="48">
        <f>('[4]FACTURACION SEP17'!L22)/1000</f>
        <v>0</v>
      </c>
      <c r="V25" s="48">
        <f>('[4]FACTURACION SEP17'!K22)/1000</f>
        <v>87.153999999999996</v>
      </c>
      <c r="W25" s="48">
        <f>('[4]FACTURACION SEP17'!P22)/1000</f>
        <v>0</v>
      </c>
      <c r="X25" s="48">
        <f>('[4]FACTURACION SEP17'!O22)/1000</f>
        <v>4688.3620000000001</v>
      </c>
      <c r="Y25" s="48">
        <f>('[4]FACTURACION SEP17'!Q22)/1000</f>
        <v>0</v>
      </c>
      <c r="Z25" s="48">
        <f t="shared" si="13"/>
        <v>4688.3620000000001</v>
      </c>
      <c r="AA25" s="48">
        <f t="shared" si="14"/>
        <v>53.793996833191827</v>
      </c>
      <c r="AD25" s="44">
        <f>+INDEX([2]Precios!$B$9:$H$28,MATCH($J25,[2]Precios!$B$9:$B$28,0),7)</f>
        <v>5636.9283999999998</v>
      </c>
      <c r="AE25" s="44">
        <f>+INDEX([2]Precios!$B$9:$H$28,MATCH($J25,[2]Precios!$B$9:$B$28,0),6)</f>
        <v>53.793999999999997</v>
      </c>
      <c r="AF25" s="68">
        <f t="shared" si="20"/>
        <v>0</v>
      </c>
      <c r="AG25" s="68">
        <f t="shared" si="21"/>
        <v>87.153999999999996</v>
      </c>
      <c r="AH25" s="68">
        <f t="shared" si="22"/>
        <v>0</v>
      </c>
      <c r="AI25" s="68">
        <f t="shared" si="23"/>
        <v>4688.3622759999998</v>
      </c>
      <c r="AJ25" s="68"/>
      <c r="AK25" s="69">
        <f t="shared" si="24"/>
        <v>4688.3622759999998</v>
      </c>
      <c r="AL25" s="69">
        <f t="shared" si="25"/>
        <v>53.793999999999997</v>
      </c>
      <c r="AO25" s="44">
        <f t="shared" si="26"/>
        <v>-5636.9283999999998</v>
      </c>
      <c r="AP25" s="44">
        <f t="shared" si="27"/>
        <v>-3.1668081703628559E-6</v>
      </c>
      <c r="AQ25" s="44">
        <f t="shared" si="28"/>
        <v>0</v>
      </c>
      <c r="AR25" s="44">
        <f t="shared" si="29"/>
        <v>0</v>
      </c>
      <c r="AS25" s="44">
        <f t="shared" si="30"/>
        <v>0</v>
      </c>
      <c r="AT25" s="44">
        <f t="shared" si="31"/>
        <v>2.7599999975791434E-4</v>
      </c>
      <c r="AU25" s="61">
        <f t="shared" si="32"/>
        <v>2.7599999975791434E-4</v>
      </c>
      <c r="AV25" s="44">
        <f t="shared" si="33"/>
        <v>-3.1668081703628559E-6</v>
      </c>
      <c r="AY25" s="44"/>
      <c r="AZ25" s="44"/>
      <c r="BA25" s="44"/>
      <c r="BB25" s="44"/>
      <c r="BC25" s="44"/>
      <c r="BD25" s="44"/>
      <c r="BE25" s="44"/>
      <c r="BF25" s="44"/>
      <c r="BG25" s="44"/>
    </row>
    <row r="26" spans="2:59" hidden="1" x14ac:dyDescent="0.25">
      <c r="B26" s="43" t="s">
        <v>134</v>
      </c>
      <c r="C26" s="88" t="s">
        <v>144</v>
      </c>
      <c r="D26" s="47" t="s">
        <v>135</v>
      </c>
      <c r="E26" s="47">
        <v>220</v>
      </c>
      <c r="F26" s="47" t="s">
        <v>137</v>
      </c>
      <c r="G26" s="25" t="s">
        <v>153</v>
      </c>
      <c r="H26" s="26">
        <v>42736</v>
      </c>
      <c r="I26" s="26">
        <v>50040</v>
      </c>
      <c r="J26" s="16" t="str">
        <f t="shared" si="4"/>
        <v>Pan de Azucar 220</v>
      </c>
      <c r="K26" s="44">
        <f t="shared" si="5"/>
        <v>0</v>
      </c>
      <c r="L26" s="44">
        <f t="shared" si="6"/>
        <v>53.296999977081569</v>
      </c>
      <c r="M26" s="56">
        <f t="shared" si="7"/>
        <v>0</v>
      </c>
      <c r="N26" s="56">
        <f t="shared" si="8"/>
        <v>7199.4449999999997</v>
      </c>
      <c r="O26" s="45">
        <f t="shared" si="9"/>
        <v>383708.82</v>
      </c>
      <c r="P26" s="45">
        <f t="shared" si="10"/>
        <v>53.296999977081569</v>
      </c>
      <c r="S26" s="48">
        <f t="shared" si="11"/>
        <v>0</v>
      </c>
      <c r="T26" s="48">
        <f t="shared" si="12"/>
        <v>53.296999977081569</v>
      </c>
      <c r="U26" s="48">
        <f>('[4]FACTURACION SEP17'!L23)/1000</f>
        <v>0</v>
      </c>
      <c r="V26" s="48">
        <f>('[4]FACTURACION SEP17'!K23)/1000</f>
        <v>7199.4449999999997</v>
      </c>
      <c r="W26" s="48">
        <f>('[4]FACTURACION SEP17'!P23)/1000</f>
        <v>0</v>
      </c>
      <c r="X26" s="48">
        <f>('[4]FACTURACION SEP17'!O23)/1000</f>
        <v>383708.82</v>
      </c>
      <c r="Y26" s="48">
        <f>('[4]FACTURACION SEP17'!Q23)/1000</f>
        <v>0</v>
      </c>
      <c r="Z26" s="48">
        <f t="shared" si="13"/>
        <v>383708.82</v>
      </c>
      <c r="AA26" s="48">
        <f t="shared" si="14"/>
        <v>53.296999977081569</v>
      </c>
      <c r="AD26" s="44">
        <f>+INDEX([2]Precios!$B$9:$H$28,MATCH($J26,[2]Precios!$B$9:$B$28,0),7)</f>
        <v>5537.8145000000004</v>
      </c>
      <c r="AE26" s="44">
        <f>+INDEX([2]Precios!$B$9:$H$28,MATCH($J26,[2]Precios!$B$9:$B$28,0),6)</f>
        <v>53.296999999999997</v>
      </c>
      <c r="AF26" s="68">
        <f t="shared" si="20"/>
        <v>0</v>
      </c>
      <c r="AG26" s="68">
        <f t="shared" si="21"/>
        <v>7199.4449999999997</v>
      </c>
      <c r="AH26" s="68">
        <f t="shared" si="22"/>
        <v>0</v>
      </c>
      <c r="AI26" s="68">
        <f t="shared" si="23"/>
        <v>383708.82016499998</v>
      </c>
      <c r="AJ26" s="68"/>
      <c r="AK26" s="69">
        <f t="shared" si="24"/>
        <v>383708.82016499998</v>
      </c>
      <c r="AL26" s="69">
        <f t="shared" si="25"/>
        <v>53.296999999999997</v>
      </c>
      <c r="AO26" s="44">
        <f t="shared" si="26"/>
        <v>-5537.8145000000004</v>
      </c>
      <c r="AP26" s="44">
        <f t="shared" si="27"/>
        <v>-2.2918428044249595E-8</v>
      </c>
      <c r="AQ26" s="44">
        <f t="shared" si="28"/>
        <v>0</v>
      </c>
      <c r="AR26" s="44">
        <f t="shared" si="29"/>
        <v>0</v>
      </c>
      <c r="AS26" s="44">
        <f t="shared" si="30"/>
        <v>0</v>
      </c>
      <c r="AT26" s="44">
        <f t="shared" si="31"/>
        <v>1.6499997582286596E-4</v>
      </c>
      <c r="AU26" s="61">
        <f t="shared" si="32"/>
        <v>1.6499997582286596E-4</v>
      </c>
      <c r="AV26" s="44">
        <f t="shared" si="33"/>
        <v>-2.2918428044249595E-8</v>
      </c>
      <c r="AY26" s="44"/>
      <c r="AZ26" s="44"/>
      <c r="BA26" s="44"/>
      <c r="BB26" s="44"/>
      <c r="BC26" s="44">
        <f>[5]RESUMEN!I8/1000</f>
        <v>112.75</v>
      </c>
      <c r="BD26" s="44">
        <f>[5]RESUMEN!H8/1000</f>
        <v>6312.5209999999997</v>
      </c>
      <c r="BE26" s="44">
        <f>[5]RESUMEN!J8/1000</f>
        <v>4.2999999999999997E-2</v>
      </c>
      <c r="BF26" s="70">
        <f>+BD26+BE26</f>
        <v>6312.5639999999994</v>
      </c>
      <c r="BG26" s="44"/>
    </row>
    <row r="27" spans="2:59" hidden="1" x14ac:dyDescent="0.25">
      <c r="B27" s="43" t="s">
        <v>134</v>
      </c>
      <c r="C27" s="88" t="s">
        <v>144</v>
      </c>
      <c r="D27" s="47" t="s">
        <v>9</v>
      </c>
      <c r="E27" s="47">
        <v>220</v>
      </c>
      <c r="F27" s="47" t="s">
        <v>137</v>
      </c>
      <c r="G27" s="25" t="s">
        <v>153</v>
      </c>
      <c r="H27" s="26">
        <v>42736</v>
      </c>
      <c r="I27" s="26">
        <v>50040</v>
      </c>
      <c r="J27" s="16" t="str">
        <f t="shared" si="4"/>
        <v>Quillota 220</v>
      </c>
      <c r="K27" s="44">
        <f t="shared" si="5"/>
        <v>0</v>
      </c>
      <c r="L27" s="44">
        <f t="shared" si="6"/>
        <v>54.633000058357524</v>
      </c>
      <c r="M27" s="56">
        <f t="shared" si="7"/>
        <v>0</v>
      </c>
      <c r="N27" s="56">
        <f t="shared" si="8"/>
        <v>2930.2130000000002</v>
      </c>
      <c r="O27" s="45">
        <f t="shared" si="9"/>
        <v>160086.32699999999</v>
      </c>
      <c r="P27" s="45">
        <f t="shared" si="10"/>
        <v>54.633000058357524</v>
      </c>
      <c r="S27" s="48">
        <f t="shared" si="11"/>
        <v>0</v>
      </c>
      <c r="T27" s="48">
        <f t="shared" si="12"/>
        <v>54.633000058357524</v>
      </c>
      <c r="U27" s="48">
        <f>('[4]FACTURACION SEP17'!L24)/1000</f>
        <v>0</v>
      </c>
      <c r="V27" s="48">
        <f>('[4]FACTURACION SEP17'!K24)/1000</f>
        <v>2930.2130000000002</v>
      </c>
      <c r="W27" s="48">
        <f>('[4]FACTURACION SEP17'!P24)/1000</f>
        <v>0</v>
      </c>
      <c r="X27" s="48">
        <f>('[4]FACTURACION SEP17'!O24)/1000</f>
        <v>160086.32699999999</v>
      </c>
      <c r="Y27" s="48">
        <f>('[4]FACTURACION SEP17'!Q24)/1000</f>
        <v>0</v>
      </c>
      <c r="Z27" s="48">
        <f t="shared" si="13"/>
        <v>160086.32699999999</v>
      </c>
      <c r="AA27" s="48">
        <f t="shared" si="14"/>
        <v>54.633000058357524</v>
      </c>
      <c r="AD27" s="44">
        <f>+INDEX([2]Precios!$B$9:$H$28,MATCH($J27,[2]Precios!$B$9:$B$28,0),7)</f>
        <v>5623.9687999999996</v>
      </c>
      <c r="AE27" s="44">
        <f>+INDEX([2]Precios!$B$9:$H$28,MATCH($J27,[2]Precios!$B$9:$B$28,0),6)</f>
        <v>54.633000000000003</v>
      </c>
      <c r="AF27" s="68">
        <f t="shared" si="20"/>
        <v>0</v>
      </c>
      <c r="AG27" s="68">
        <f t="shared" si="21"/>
        <v>2930.2130000000002</v>
      </c>
      <c r="AH27" s="68">
        <f t="shared" si="22"/>
        <v>0</v>
      </c>
      <c r="AI27" s="68">
        <f t="shared" si="23"/>
        <v>160086.32682900003</v>
      </c>
      <c r="AJ27" s="68"/>
      <c r="AK27" s="69">
        <f t="shared" si="24"/>
        <v>160086.32682900003</v>
      </c>
      <c r="AL27" s="69">
        <f t="shared" si="25"/>
        <v>54.633000000000003</v>
      </c>
      <c r="AO27" s="44">
        <f t="shared" si="26"/>
        <v>-5623.9687999999996</v>
      </c>
      <c r="AP27" s="44">
        <f t="shared" si="27"/>
        <v>5.835752148186657E-8</v>
      </c>
      <c r="AQ27" s="44">
        <f t="shared" si="28"/>
        <v>0</v>
      </c>
      <c r="AR27" s="44">
        <f t="shared" si="29"/>
        <v>0</v>
      </c>
      <c r="AS27" s="44">
        <f t="shared" si="30"/>
        <v>0</v>
      </c>
      <c r="AT27" s="44">
        <f t="shared" si="31"/>
        <v>-1.7099996330216527E-4</v>
      </c>
      <c r="AU27" s="61">
        <f t="shared" si="32"/>
        <v>-1.7099996330216527E-4</v>
      </c>
      <c r="AV27" s="44">
        <f t="shared" si="33"/>
        <v>5.835752148186657E-8</v>
      </c>
      <c r="AY27" s="44"/>
      <c r="AZ27" s="44"/>
      <c r="BA27" s="44"/>
      <c r="BB27" s="44"/>
      <c r="BC27" s="44"/>
      <c r="BD27" s="44"/>
      <c r="BE27" s="44"/>
      <c r="BF27" s="44"/>
      <c r="BG27" s="44"/>
    </row>
    <row r="28" spans="2:59" hidden="1" x14ac:dyDescent="0.25">
      <c r="B28" s="43" t="s">
        <v>134</v>
      </c>
      <c r="C28" s="88" t="s">
        <v>144</v>
      </c>
      <c r="D28" s="47" t="s">
        <v>132</v>
      </c>
      <c r="E28" s="47">
        <v>220</v>
      </c>
      <c r="F28" s="47" t="s">
        <v>137</v>
      </c>
      <c r="G28" s="25" t="s">
        <v>154</v>
      </c>
      <c r="H28" s="26">
        <v>42736</v>
      </c>
      <c r="I28" s="26">
        <v>50040</v>
      </c>
      <c r="J28" s="16" t="str">
        <f t="shared" si="4"/>
        <v>Los Vilos 220</v>
      </c>
      <c r="K28" s="44">
        <f t="shared" si="5"/>
        <v>0</v>
      </c>
      <c r="L28" s="44">
        <f t="shared" si="6"/>
        <v>55.034000107391051</v>
      </c>
      <c r="M28" s="56">
        <f t="shared" si="7"/>
        <v>0</v>
      </c>
      <c r="N28" s="56">
        <f t="shared" si="8"/>
        <v>3966.8110000000001</v>
      </c>
      <c r="O28" s="45">
        <f t="shared" si="9"/>
        <v>218309.47700000001</v>
      </c>
      <c r="P28" s="45">
        <f t="shared" si="10"/>
        <v>55.034000107391051</v>
      </c>
      <c r="S28" s="48">
        <f t="shared" si="11"/>
        <v>0</v>
      </c>
      <c r="T28" s="48">
        <f t="shared" si="12"/>
        <v>55.034000107391051</v>
      </c>
      <c r="U28" s="48">
        <f>('[4]FACTURACION SEP17'!L40)/1000</f>
        <v>0</v>
      </c>
      <c r="V28" s="48">
        <f>('[4]FACTURACION SEP17'!K40)/1000</f>
        <v>3966.8110000000001</v>
      </c>
      <c r="W28" s="48">
        <f>('[4]FACTURACION SEP17'!P40)/1000</f>
        <v>0</v>
      </c>
      <c r="X28" s="48">
        <f>('[4]FACTURACION SEP17'!O40)/1000</f>
        <v>218309.47700000001</v>
      </c>
      <c r="Y28" s="48">
        <f>('[4]FACTURACION SEP17'!Q40)/1000</f>
        <v>0</v>
      </c>
      <c r="Z28" s="48">
        <f t="shared" si="13"/>
        <v>218309.47700000001</v>
      </c>
      <c r="AA28" s="48">
        <f t="shared" si="14"/>
        <v>55.034000107391051</v>
      </c>
      <c r="AD28" s="44">
        <f>+INDEX([2]Precios!$B$9:$H$28,MATCH($J28,[2]Precios!$B$9:$B$28,0),7)</f>
        <v>5700.6018999999997</v>
      </c>
      <c r="AE28" s="44">
        <f>+INDEX([2]Precios!$B$9:$H$28,MATCH($J28,[2]Precios!$B$9:$B$28,0),6)</f>
        <v>55.033999999999999</v>
      </c>
      <c r="AF28" s="68">
        <f t="shared" si="20"/>
        <v>0</v>
      </c>
      <c r="AG28" s="68">
        <f t="shared" si="21"/>
        <v>3966.8110000000001</v>
      </c>
      <c r="AH28" s="68">
        <f t="shared" si="22"/>
        <v>0</v>
      </c>
      <c r="AI28" s="68">
        <f t="shared" si="23"/>
        <v>218309.476574</v>
      </c>
      <c r="AJ28" s="68"/>
      <c r="AK28" s="69">
        <f t="shared" si="24"/>
        <v>218309.476574</v>
      </c>
      <c r="AL28" s="69">
        <f t="shared" si="25"/>
        <v>55.033999999999999</v>
      </c>
      <c r="AO28" s="44">
        <f t="shared" si="26"/>
        <v>-5700.6018999999997</v>
      </c>
      <c r="AP28" s="44">
        <f t="shared" si="27"/>
        <v>1.0739105249513159E-7</v>
      </c>
      <c r="AQ28" s="44">
        <f t="shared" si="28"/>
        <v>0</v>
      </c>
      <c r="AR28" s="44">
        <f t="shared" si="29"/>
        <v>0</v>
      </c>
      <c r="AS28" s="44">
        <f t="shared" si="30"/>
        <v>0</v>
      </c>
      <c r="AT28" s="44">
        <f t="shared" si="31"/>
        <v>-4.2600001324899495E-4</v>
      </c>
      <c r="AU28" s="61">
        <f t="shared" si="32"/>
        <v>-4.2600001324899495E-4</v>
      </c>
      <c r="AV28" s="44">
        <f t="shared" si="33"/>
        <v>1.0739105249513159E-7</v>
      </c>
      <c r="AY28" s="44"/>
      <c r="AZ28" s="44"/>
      <c r="BA28" s="44"/>
      <c r="BB28" s="44"/>
      <c r="BC28" s="44"/>
      <c r="BD28" s="44"/>
      <c r="BE28" s="44"/>
      <c r="BF28" s="44"/>
      <c r="BG28" s="44"/>
    </row>
    <row r="29" spans="2:59" hidden="1" x14ac:dyDescent="0.25">
      <c r="B29" s="43" t="s">
        <v>134</v>
      </c>
      <c r="C29" s="88" t="s">
        <v>144</v>
      </c>
      <c r="D29" s="47" t="s">
        <v>13</v>
      </c>
      <c r="E29" s="47">
        <v>220</v>
      </c>
      <c r="F29" s="47" t="s">
        <v>137</v>
      </c>
      <c r="G29" s="25" t="s">
        <v>154</v>
      </c>
      <c r="H29" s="26">
        <v>42736</v>
      </c>
      <c r="I29" s="26">
        <v>50040</v>
      </c>
      <c r="J29" s="16" t="str">
        <f t="shared" si="4"/>
        <v>Maitencillo 220</v>
      </c>
      <c r="K29" s="44">
        <f t="shared" si="5"/>
        <v>0</v>
      </c>
      <c r="L29" s="44">
        <f t="shared" si="6"/>
        <v>46.391998876107365</v>
      </c>
      <c r="M29" s="56">
        <f t="shared" si="7"/>
        <v>0</v>
      </c>
      <c r="N29" s="56">
        <f t="shared" si="8"/>
        <v>363.024</v>
      </c>
      <c r="O29" s="45">
        <f t="shared" si="9"/>
        <v>16841.409</v>
      </c>
      <c r="P29" s="45">
        <f t="shared" si="10"/>
        <v>46.391998876107365</v>
      </c>
      <c r="S29" s="48">
        <f t="shared" si="11"/>
        <v>0</v>
      </c>
      <c r="T29" s="48">
        <f t="shared" si="12"/>
        <v>46.391998876107365</v>
      </c>
      <c r="U29" s="48">
        <f>('[4]FACTURACION SEP17'!L41)/1000</f>
        <v>0</v>
      </c>
      <c r="V29" s="48">
        <f>('[4]FACTURACION SEP17'!K41)/1000</f>
        <v>363.024</v>
      </c>
      <c r="W29" s="48">
        <f>('[4]FACTURACION SEP17'!P41)/1000</f>
        <v>0</v>
      </c>
      <c r="X29" s="48">
        <f>('[4]FACTURACION SEP17'!O41)/1000</f>
        <v>16841.409</v>
      </c>
      <c r="Y29" s="48">
        <f>('[4]FACTURACION SEP17'!Q41)/1000</f>
        <v>29.344000000000001</v>
      </c>
      <c r="Z29" s="48">
        <f t="shared" si="13"/>
        <v>16841.409</v>
      </c>
      <c r="AA29" s="48">
        <f t="shared" si="14"/>
        <v>46.391998876107365</v>
      </c>
      <c r="AD29" s="44">
        <f>+INDEX([2]Precios!$B$9:$H$28,MATCH($J29,[2]Precios!$B$9:$B$28,0),7)</f>
        <v>5628.4650000000001</v>
      </c>
      <c r="AE29" s="44">
        <f>+INDEX([2]Precios!$B$9:$H$28,MATCH($J29,[2]Precios!$B$9:$B$28,0),6)</f>
        <v>46.392000000000003</v>
      </c>
      <c r="AF29" s="68">
        <f t="shared" si="20"/>
        <v>0</v>
      </c>
      <c r="AG29" s="68">
        <f t="shared" si="21"/>
        <v>363.024</v>
      </c>
      <c r="AH29" s="68">
        <f t="shared" si="22"/>
        <v>0</v>
      </c>
      <c r="AI29" s="68">
        <f t="shared" si="23"/>
        <v>16841.409408</v>
      </c>
      <c r="AJ29" s="68"/>
      <c r="AK29" s="69">
        <f t="shared" si="24"/>
        <v>16841.409408</v>
      </c>
      <c r="AL29" s="69">
        <f t="shared" si="25"/>
        <v>46.391999999999996</v>
      </c>
      <c r="AO29" s="44">
        <f t="shared" si="26"/>
        <v>-5628.4650000000001</v>
      </c>
      <c r="AP29" s="44">
        <f t="shared" si="27"/>
        <v>-1.123892637622248E-6</v>
      </c>
      <c r="AQ29" s="44">
        <f t="shared" si="28"/>
        <v>0</v>
      </c>
      <c r="AR29" s="44">
        <f t="shared" si="29"/>
        <v>0</v>
      </c>
      <c r="AS29" s="44">
        <f t="shared" si="30"/>
        <v>0</v>
      </c>
      <c r="AT29" s="44">
        <f t="shared" si="31"/>
        <v>4.0799999987939373E-4</v>
      </c>
      <c r="AU29" s="61">
        <f t="shared" si="32"/>
        <v>4.0799999987939373E-4</v>
      </c>
      <c r="AV29" s="44">
        <f t="shared" si="33"/>
        <v>-1.1238926305168206E-6</v>
      </c>
      <c r="AY29" s="44"/>
      <c r="AZ29" s="44"/>
      <c r="BA29" s="44"/>
      <c r="BB29" s="44"/>
      <c r="BC29" s="44"/>
      <c r="BD29" s="44"/>
      <c r="BE29" s="44"/>
      <c r="BF29" s="44"/>
      <c r="BG29" s="44"/>
    </row>
    <row r="30" spans="2:59" hidden="1" x14ac:dyDescent="0.25">
      <c r="B30" s="43" t="s">
        <v>134</v>
      </c>
      <c r="C30" s="88" t="s">
        <v>144</v>
      </c>
      <c r="D30" s="47" t="s">
        <v>133</v>
      </c>
      <c r="E30" s="47">
        <v>220</v>
      </c>
      <c r="F30" s="47" t="s">
        <v>137</v>
      </c>
      <c r="G30" s="25" t="s">
        <v>154</v>
      </c>
      <c r="H30" s="26">
        <v>42736</v>
      </c>
      <c r="I30" s="26">
        <v>50040</v>
      </c>
      <c r="J30" s="16" t="str">
        <f t="shared" si="4"/>
        <v>Nogales 220</v>
      </c>
      <c r="K30" s="44">
        <f t="shared" si="5"/>
        <v>0</v>
      </c>
      <c r="L30" s="44">
        <f t="shared" si="6"/>
        <v>53.794000211431964</v>
      </c>
      <c r="M30" s="56">
        <f t="shared" si="7"/>
        <v>0</v>
      </c>
      <c r="N30" s="56">
        <f t="shared" si="8"/>
        <v>122.971</v>
      </c>
      <c r="O30" s="45">
        <f t="shared" si="9"/>
        <v>6615.1019999999999</v>
      </c>
      <c r="P30" s="45">
        <f t="shared" si="10"/>
        <v>53.794000211431964</v>
      </c>
      <c r="S30" s="48">
        <f t="shared" si="11"/>
        <v>0</v>
      </c>
      <c r="T30" s="48">
        <f t="shared" si="12"/>
        <v>53.794000211431964</v>
      </c>
      <c r="U30" s="48">
        <f>('[4]FACTURACION SEP17'!L42)/1000</f>
        <v>0</v>
      </c>
      <c r="V30" s="48">
        <f>('[4]FACTURACION SEP17'!K42)/1000</f>
        <v>122.971</v>
      </c>
      <c r="W30" s="48">
        <f>('[4]FACTURACION SEP17'!P42)/1000</f>
        <v>0</v>
      </c>
      <c r="X30" s="48">
        <f>('[4]FACTURACION SEP17'!O42)/1000</f>
        <v>6615.1019999999999</v>
      </c>
      <c r="Y30" s="48">
        <f>('[4]FACTURACION SEP17'!Q42)/1000</f>
        <v>0</v>
      </c>
      <c r="Z30" s="48">
        <f t="shared" si="13"/>
        <v>6615.1019999999999</v>
      </c>
      <c r="AA30" s="48">
        <f t="shared" si="14"/>
        <v>53.794000211431964</v>
      </c>
      <c r="AD30" s="44">
        <f>+INDEX([2]Precios!$B$9:$H$28,MATCH($J30,[2]Precios!$B$9:$B$28,0),7)</f>
        <v>5636.9283999999998</v>
      </c>
      <c r="AE30" s="44">
        <f>+INDEX([2]Precios!$B$9:$H$28,MATCH($J30,[2]Precios!$B$9:$B$28,0),6)</f>
        <v>53.793999999999997</v>
      </c>
      <c r="AF30" s="68">
        <f t="shared" si="20"/>
        <v>0</v>
      </c>
      <c r="AG30" s="68">
        <f t="shared" si="21"/>
        <v>122.971</v>
      </c>
      <c r="AH30" s="68">
        <f t="shared" si="22"/>
        <v>0</v>
      </c>
      <c r="AI30" s="68">
        <f t="shared" si="23"/>
        <v>6615.1019740000002</v>
      </c>
      <c r="AJ30" s="68"/>
      <c r="AK30" s="69">
        <f t="shared" si="24"/>
        <v>6615.1019740000002</v>
      </c>
      <c r="AL30" s="69">
        <f t="shared" si="25"/>
        <v>53.793999999999997</v>
      </c>
      <c r="AO30" s="44">
        <f t="shared" si="26"/>
        <v>-5636.9283999999998</v>
      </c>
      <c r="AP30" s="44">
        <f t="shared" si="27"/>
        <v>2.1143196704542788E-7</v>
      </c>
      <c r="AQ30" s="44">
        <f t="shared" si="28"/>
        <v>0</v>
      </c>
      <c r="AR30" s="44">
        <f t="shared" si="29"/>
        <v>0</v>
      </c>
      <c r="AS30" s="44">
        <f t="shared" si="30"/>
        <v>0</v>
      </c>
      <c r="AT30" s="44">
        <f t="shared" si="31"/>
        <v>-2.5999999706982635E-5</v>
      </c>
      <c r="AU30" s="61">
        <f t="shared" si="32"/>
        <v>-2.5999999706982635E-5</v>
      </c>
      <c r="AV30" s="44">
        <f t="shared" si="33"/>
        <v>2.1143196704542788E-7</v>
      </c>
      <c r="AY30" s="44"/>
      <c r="AZ30" s="44"/>
      <c r="BA30" s="44"/>
      <c r="BB30" s="44"/>
      <c r="BC30" s="44"/>
      <c r="BD30" s="44"/>
      <c r="BE30" s="44"/>
      <c r="BF30" s="44"/>
      <c r="BG30" s="44"/>
    </row>
    <row r="31" spans="2:59" hidden="1" x14ac:dyDescent="0.25">
      <c r="B31" s="43" t="s">
        <v>134</v>
      </c>
      <c r="C31" s="88" t="s">
        <v>144</v>
      </c>
      <c r="D31" s="47" t="s">
        <v>135</v>
      </c>
      <c r="E31" s="47">
        <v>220</v>
      </c>
      <c r="F31" s="47" t="s">
        <v>137</v>
      </c>
      <c r="G31" s="25" t="s">
        <v>154</v>
      </c>
      <c r="H31" s="26">
        <v>42736</v>
      </c>
      <c r="I31" s="26">
        <v>50040</v>
      </c>
      <c r="J31" s="16" t="str">
        <f t="shared" si="4"/>
        <v>Pan de Azucar 220</v>
      </c>
      <c r="K31" s="44">
        <f t="shared" si="5"/>
        <v>0</v>
      </c>
      <c r="L31" s="44">
        <f t="shared" si="6"/>
        <v>53.297000017416536</v>
      </c>
      <c r="M31" s="56">
        <f t="shared" si="7"/>
        <v>0</v>
      </c>
      <c r="N31" s="56">
        <f t="shared" si="8"/>
        <v>9244.0869999999995</v>
      </c>
      <c r="O31" s="45">
        <f t="shared" si="9"/>
        <v>492682.10499999998</v>
      </c>
      <c r="P31" s="45">
        <f t="shared" si="10"/>
        <v>53.297000017416536</v>
      </c>
      <c r="S31" s="48">
        <f t="shared" si="11"/>
        <v>0</v>
      </c>
      <c r="T31" s="48">
        <f t="shared" si="12"/>
        <v>53.297000017416536</v>
      </c>
      <c r="U31" s="48">
        <f>('[4]FACTURACION SEP17'!L43)/1000</f>
        <v>0</v>
      </c>
      <c r="V31" s="48">
        <f>('[4]FACTURACION SEP17'!K43)/1000</f>
        <v>9244.0869999999995</v>
      </c>
      <c r="W31" s="48">
        <f>('[4]FACTURACION SEP17'!P43)/1000</f>
        <v>0</v>
      </c>
      <c r="X31" s="48">
        <f>('[4]FACTURACION SEP17'!O43)/1000</f>
        <v>492682.10499999998</v>
      </c>
      <c r="Y31" s="48">
        <f>('[4]FACTURACION SEP17'!Q43)/1000</f>
        <v>7.5819999999999999</v>
      </c>
      <c r="Z31" s="48">
        <f t="shared" si="13"/>
        <v>492682.10499999998</v>
      </c>
      <c r="AA31" s="48">
        <f t="shared" si="14"/>
        <v>53.297000017416536</v>
      </c>
      <c r="AD31" s="44">
        <f>+INDEX([2]Precios!$B$9:$H$28,MATCH($J31,[2]Precios!$B$9:$B$28,0),7)</f>
        <v>5537.8145000000004</v>
      </c>
      <c r="AE31" s="44">
        <f>+INDEX([2]Precios!$B$9:$H$28,MATCH($J31,[2]Precios!$B$9:$B$28,0),6)</f>
        <v>53.296999999999997</v>
      </c>
      <c r="AF31" s="68">
        <f t="shared" si="20"/>
        <v>0</v>
      </c>
      <c r="AG31" s="68">
        <f t="shared" si="21"/>
        <v>9244.0869999999995</v>
      </c>
      <c r="AH31" s="68">
        <f t="shared" si="22"/>
        <v>0</v>
      </c>
      <c r="AI31" s="68">
        <f t="shared" si="23"/>
        <v>492682.10483899992</v>
      </c>
      <c r="AJ31" s="68"/>
      <c r="AK31" s="69">
        <f t="shared" si="24"/>
        <v>492682.10483899992</v>
      </c>
      <c r="AL31" s="69">
        <f t="shared" si="25"/>
        <v>53.296999999999997</v>
      </c>
      <c r="AO31" s="44">
        <f t="shared" si="26"/>
        <v>-5537.8145000000004</v>
      </c>
      <c r="AP31" s="44">
        <f t="shared" si="27"/>
        <v>1.7416539321857272E-8</v>
      </c>
      <c r="AQ31" s="44">
        <f t="shared" si="28"/>
        <v>0</v>
      </c>
      <c r="AR31" s="44">
        <f t="shared" si="29"/>
        <v>0</v>
      </c>
      <c r="AS31" s="44">
        <f t="shared" si="30"/>
        <v>0</v>
      </c>
      <c r="AT31" s="44">
        <f t="shared" si="31"/>
        <v>-1.6100006178021431E-4</v>
      </c>
      <c r="AU31" s="61">
        <f t="shared" si="32"/>
        <v>-1.6100006178021431E-4</v>
      </c>
      <c r="AV31" s="44">
        <f t="shared" si="33"/>
        <v>1.7416539321857272E-8</v>
      </c>
      <c r="AY31" s="44"/>
      <c r="AZ31" s="44"/>
      <c r="BA31" s="44"/>
      <c r="BB31" s="44"/>
      <c r="BC31" s="44"/>
      <c r="BD31" s="44"/>
      <c r="BE31" s="44"/>
      <c r="BF31" s="44"/>
      <c r="BG31" s="44"/>
    </row>
    <row r="32" spans="2:59" hidden="1" x14ac:dyDescent="0.25">
      <c r="B32" s="43" t="s">
        <v>134</v>
      </c>
      <c r="C32" s="88" t="s">
        <v>144</v>
      </c>
      <c r="D32" s="47" t="s">
        <v>9</v>
      </c>
      <c r="E32" s="47">
        <v>220</v>
      </c>
      <c r="F32" s="47" t="s">
        <v>137</v>
      </c>
      <c r="G32" s="25" t="s">
        <v>154</v>
      </c>
      <c r="H32" s="26">
        <v>42736</v>
      </c>
      <c r="I32" s="26">
        <v>50040</v>
      </c>
      <c r="J32" s="16" t="str">
        <f t="shared" si="4"/>
        <v>Quillota 220</v>
      </c>
      <c r="K32" s="44">
        <f t="shared" si="5"/>
        <v>0</v>
      </c>
      <c r="L32" s="44">
        <f t="shared" si="6"/>
        <v>54.632999984127018</v>
      </c>
      <c r="M32" s="56">
        <f t="shared" si="7"/>
        <v>0</v>
      </c>
      <c r="N32" s="56">
        <f t="shared" si="8"/>
        <v>4032.0079999999998</v>
      </c>
      <c r="O32" s="45">
        <f t="shared" si="9"/>
        <v>220280.693</v>
      </c>
      <c r="P32" s="45">
        <f t="shared" si="10"/>
        <v>54.632999984127018</v>
      </c>
      <c r="S32" s="48">
        <f t="shared" si="11"/>
        <v>0</v>
      </c>
      <c r="T32" s="48">
        <f t="shared" si="12"/>
        <v>54.632999984127018</v>
      </c>
      <c r="U32" s="48">
        <f>('[4]FACTURACION SEP17'!L44)/1000</f>
        <v>0</v>
      </c>
      <c r="V32" s="48">
        <f>('[4]FACTURACION SEP17'!K44)/1000</f>
        <v>4032.0079999999998</v>
      </c>
      <c r="W32" s="48">
        <f>('[4]FACTURACION SEP17'!P44)/1000</f>
        <v>0</v>
      </c>
      <c r="X32" s="48">
        <f>('[4]FACTURACION SEP17'!O44)/1000</f>
        <v>220280.693</v>
      </c>
      <c r="Y32" s="48">
        <f>('[4]FACTURACION SEP17'!Q44)/1000</f>
        <v>0</v>
      </c>
      <c r="Z32" s="48">
        <f t="shared" si="13"/>
        <v>220280.693</v>
      </c>
      <c r="AA32" s="48">
        <f t="shared" si="14"/>
        <v>54.632999984127018</v>
      </c>
      <c r="AD32" s="44">
        <f>+INDEX([2]Precios!$B$9:$H$28,MATCH($J32,[2]Precios!$B$9:$B$28,0),7)</f>
        <v>5623.9687999999996</v>
      </c>
      <c r="AE32" s="44">
        <f>+INDEX([2]Precios!$B$9:$H$28,MATCH($J32,[2]Precios!$B$9:$B$28,0),6)</f>
        <v>54.633000000000003</v>
      </c>
      <c r="AF32" s="68">
        <f t="shared" si="20"/>
        <v>0</v>
      </c>
      <c r="AG32" s="68">
        <f t="shared" si="21"/>
        <v>4032.0079999999998</v>
      </c>
      <c r="AH32" s="68">
        <f t="shared" si="22"/>
        <v>0</v>
      </c>
      <c r="AI32" s="68">
        <f t="shared" si="23"/>
        <v>220280.69306399999</v>
      </c>
      <c r="AJ32" s="68"/>
      <c r="AK32" s="69">
        <f t="shared" si="24"/>
        <v>220280.69306399999</v>
      </c>
      <c r="AL32" s="69">
        <f t="shared" si="25"/>
        <v>54.633000000000003</v>
      </c>
      <c r="AO32" s="44">
        <f t="shared" si="26"/>
        <v>-5623.9687999999996</v>
      </c>
      <c r="AP32" s="44">
        <f t="shared" si="27"/>
        <v>-1.587298470440146E-8</v>
      </c>
      <c r="AQ32" s="44">
        <f t="shared" si="28"/>
        <v>0</v>
      </c>
      <c r="AR32" s="44">
        <f t="shared" si="29"/>
        <v>0</v>
      </c>
      <c r="AS32" s="44">
        <f t="shared" si="30"/>
        <v>0</v>
      </c>
      <c r="AT32" s="44">
        <f t="shared" si="31"/>
        <v>6.3999992562457919E-5</v>
      </c>
      <c r="AU32" s="61">
        <f t="shared" si="32"/>
        <v>6.3999992562457919E-5</v>
      </c>
      <c r="AV32" s="44">
        <f t="shared" si="33"/>
        <v>-1.587298470440146E-8</v>
      </c>
      <c r="AY32" s="44"/>
      <c r="AZ32" s="44"/>
      <c r="BA32" s="44"/>
      <c r="BB32" s="44"/>
      <c r="BC32" s="44"/>
      <c r="BD32" s="44"/>
      <c r="BE32" s="44"/>
      <c r="BF32" s="44"/>
      <c r="BG32" s="44"/>
    </row>
    <row r="33" spans="2:59" hidden="1" x14ac:dyDescent="0.25">
      <c r="B33" s="43" t="s">
        <v>134</v>
      </c>
      <c r="C33" s="88" t="s">
        <v>144</v>
      </c>
      <c r="D33" s="47" t="s">
        <v>132</v>
      </c>
      <c r="E33" s="47">
        <v>220</v>
      </c>
      <c r="F33" s="47" t="s">
        <v>137</v>
      </c>
      <c r="G33" s="25" t="s">
        <v>155</v>
      </c>
      <c r="H33" s="26">
        <v>42736</v>
      </c>
      <c r="I33" s="26">
        <v>50040</v>
      </c>
      <c r="J33" s="16" t="str">
        <f t="shared" si="4"/>
        <v>Los Vilos 220</v>
      </c>
      <c r="K33" s="44">
        <f t="shared" si="5"/>
        <v>5700.6018974864464</v>
      </c>
      <c r="L33" s="44">
        <f t="shared" si="6"/>
        <v>55.034000038811122</v>
      </c>
      <c r="M33" s="56">
        <f t="shared" si="7"/>
        <v>16.231999999999999</v>
      </c>
      <c r="N33" s="56">
        <f t="shared" si="8"/>
        <v>2009.7329999999999</v>
      </c>
      <c r="O33" s="45">
        <f t="shared" si="9"/>
        <v>203135.81599999999</v>
      </c>
      <c r="P33" s="45">
        <f t="shared" si="10"/>
        <v>101.07602154116989</v>
      </c>
      <c r="S33" s="48">
        <f t="shared" si="11"/>
        <v>5700.6018974864464</v>
      </c>
      <c r="T33" s="48">
        <f t="shared" si="12"/>
        <v>55.034000038811122</v>
      </c>
      <c r="U33" s="48">
        <f>('[4]FACTURACION SEP17'!L60)/1000</f>
        <v>16.231999999999999</v>
      </c>
      <c r="V33" s="48">
        <f>('[4]FACTURACION SEP17'!K60)/1000</f>
        <v>2009.7329999999999</v>
      </c>
      <c r="W33" s="48">
        <f>('[4]FACTURACION SEP17'!P60)/1000</f>
        <v>92532.17</v>
      </c>
      <c r="X33" s="48">
        <f>('[4]FACTURACION SEP17'!O60)/1000</f>
        <v>110603.64599999999</v>
      </c>
      <c r="Y33" s="48">
        <f>('[4]FACTURACION SEP17'!Q60)/1000</f>
        <v>0</v>
      </c>
      <c r="Z33" s="48">
        <f t="shared" si="13"/>
        <v>203135.81599999999</v>
      </c>
      <c r="AA33" s="48">
        <f t="shared" si="14"/>
        <v>101.07602154116989</v>
      </c>
      <c r="AD33" s="44">
        <f>+INDEX([2]Precios!$B$9:$H$28,MATCH($J33,[2]Precios!$B$9:$B$28,0),7)</f>
        <v>5700.6018999999997</v>
      </c>
      <c r="AE33" s="44">
        <f>+INDEX([2]Precios!$B$9:$H$28,MATCH($J33,[2]Precios!$B$9:$B$28,0),6)</f>
        <v>55.033999999999999</v>
      </c>
      <c r="AF33" s="68">
        <f t="shared" si="20"/>
        <v>16.231999999999999</v>
      </c>
      <c r="AG33" s="68">
        <f t="shared" si="21"/>
        <v>2009.7329999999999</v>
      </c>
      <c r="AH33" s="68">
        <f t="shared" si="22"/>
        <v>92532.170040799989</v>
      </c>
      <c r="AI33" s="68">
        <f t="shared" si="23"/>
        <v>110603.645922</v>
      </c>
      <c r="AJ33" s="68"/>
      <c r="AK33" s="69">
        <f t="shared" si="24"/>
        <v>203135.8159628</v>
      </c>
      <c r="AL33" s="69">
        <f t="shared" si="25"/>
        <v>101.07602152265997</v>
      </c>
      <c r="AO33" s="44">
        <f t="shared" si="26"/>
        <v>-2.5135532268905081E-6</v>
      </c>
      <c r="AP33" s="44">
        <f t="shared" si="27"/>
        <v>3.881112320414104E-8</v>
      </c>
      <c r="AQ33" s="44">
        <f t="shared" si="28"/>
        <v>0</v>
      </c>
      <c r="AR33" s="44">
        <f t="shared" si="29"/>
        <v>0</v>
      </c>
      <c r="AS33" s="44">
        <f t="shared" si="30"/>
        <v>4.0799990529194474E-5</v>
      </c>
      <c r="AT33" s="44">
        <f t="shared" si="31"/>
        <v>-7.7999997301958501E-5</v>
      </c>
      <c r="AU33" s="61">
        <f t="shared" si="32"/>
        <v>-3.7199992220848799E-5</v>
      </c>
      <c r="AV33" s="44">
        <f t="shared" si="33"/>
        <v>1.8509922483644914E-8</v>
      </c>
      <c r="AY33" s="44"/>
      <c r="AZ33" s="44"/>
      <c r="BA33" s="44"/>
      <c r="BB33" s="44"/>
      <c r="BC33" s="44"/>
      <c r="BD33" s="44"/>
      <c r="BE33" s="44"/>
      <c r="BF33" s="44"/>
      <c r="BG33" s="44"/>
    </row>
    <row r="34" spans="2:59" hidden="1" x14ac:dyDescent="0.25">
      <c r="B34" s="43" t="s">
        <v>134</v>
      </c>
      <c r="C34" s="88" t="s">
        <v>144</v>
      </c>
      <c r="D34" s="47" t="s">
        <v>13</v>
      </c>
      <c r="E34" s="47">
        <v>220</v>
      </c>
      <c r="F34" s="47" t="s">
        <v>137</v>
      </c>
      <c r="G34" s="25" t="s">
        <v>155</v>
      </c>
      <c r="H34" s="26">
        <v>42736</v>
      </c>
      <c r="I34" s="26">
        <v>50040</v>
      </c>
      <c r="J34" s="16" t="str">
        <f t="shared" si="4"/>
        <v>Maitencillo 220</v>
      </c>
      <c r="K34" s="44">
        <f t="shared" si="5"/>
        <v>5628.4648437500009</v>
      </c>
      <c r="L34" s="44">
        <f t="shared" si="6"/>
        <v>46.392000660420187</v>
      </c>
      <c r="M34" s="56">
        <f t="shared" si="7"/>
        <v>2.3039999999999998</v>
      </c>
      <c r="N34" s="56">
        <f t="shared" si="8"/>
        <v>266.49700000000001</v>
      </c>
      <c r="O34" s="45">
        <f t="shared" si="9"/>
        <v>25331.312000000002</v>
      </c>
      <c r="P34" s="45">
        <f t="shared" si="10"/>
        <v>95.052897405974548</v>
      </c>
      <c r="S34" s="48">
        <f t="shared" si="11"/>
        <v>5628.4648437500009</v>
      </c>
      <c r="T34" s="48">
        <f t="shared" si="12"/>
        <v>46.392000660420187</v>
      </c>
      <c r="U34" s="48">
        <f>('[4]FACTURACION SEP17'!L61)/1000</f>
        <v>2.3039999999999998</v>
      </c>
      <c r="V34" s="48">
        <f>('[4]FACTURACION SEP17'!K61)/1000</f>
        <v>266.49700000000001</v>
      </c>
      <c r="W34" s="48">
        <f>('[4]FACTURACION SEP17'!P61)/1000</f>
        <v>12967.983</v>
      </c>
      <c r="X34" s="48">
        <f>('[4]FACTURACION SEP17'!O61)/1000</f>
        <v>12363.329</v>
      </c>
      <c r="Y34" s="48">
        <f>('[4]FACTURACION SEP17'!Q61)/1000</f>
        <v>0</v>
      </c>
      <c r="Z34" s="48">
        <f t="shared" si="13"/>
        <v>25331.312000000002</v>
      </c>
      <c r="AA34" s="48">
        <f t="shared" si="14"/>
        <v>95.052897405974548</v>
      </c>
      <c r="AD34" s="44">
        <f>+INDEX([2]Precios!$B$9:$H$28,MATCH($J34,[2]Precios!$B$9:$B$28,0),7)</f>
        <v>5628.4650000000001</v>
      </c>
      <c r="AE34" s="44">
        <f>+INDEX([2]Precios!$B$9:$H$28,MATCH($J34,[2]Precios!$B$9:$B$28,0),6)</f>
        <v>46.392000000000003</v>
      </c>
      <c r="AF34" s="68">
        <f t="shared" si="20"/>
        <v>2.3039999999999998</v>
      </c>
      <c r="AG34" s="68">
        <f t="shared" si="21"/>
        <v>266.49700000000001</v>
      </c>
      <c r="AH34" s="68">
        <f t="shared" si="22"/>
        <v>12967.98336</v>
      </c>
      <c r="AI34" s="68">
        <f t="shared" si="23"/>
        <v>12363.328824000002</v>
      </c>
      <c r="AJ34" s="68"/>
      <c r="AK34" s="69">
        <f t="shared" si="24"/>
        <v>25331.312184000002</v>
      </c>
      <c r="AL34" s="69">
        <f t="shared" si="25"/>
        <v>95.052898096413841</v>
      </c>
      <c r="AO34" s="44">
        <f t="shared" si="26"/>
        <v>-1.5624999923602445E-4</v>
      </c>
      <c r="AP34" s="44">
        <f t="shared" si="27"/>
        <v>6.6042018431744509E-7</v>
      </c>
      <c r="AQ34" s="44">
        <f t="shared" si="28"/>
        <v>0</v>
      </c>
      <c r="AR34" s="44">
        <f t="shared" si="29"/>
        <v>0</v>
      </c>
      <c r="AS34" s="44">
        <f t="shared" si="30"/>
        <v>3.5999999818159267E-4</v>
      </c>
      <c r="AT34" s="44">
        <f t="shared" si="31"/>
        <v>-1.7599999773665331E-4</v>
      </c>
      <c r="AU34" s="61">
        <f t="shared" si="32"/>
        <v>1.8400000044493936E-4</v>
      </c>
      <c r="AV34" s="44">
        <f t="shared" si="33"/>
        <v>-6.9043929329382081E-7</v>
      </c>
      <c r="AY34" s="44"/>
      <c r="AZ34" s="44"/>
      <c r="BA34" s="44"/>
      <c r="BB34" s="44"/>
      <c r="BC34" s="44"/>
      <c r="BD34" s="44"/>
      <c r="BE34" s="44"/>
      <c r="BF34" s="44"/>
      <c r="BG34" s="44"/>
    </row>
    <row r="35" spans="2:59" hidden="1" x14ac:dyDescent="0.25">
      <c r="B35" s="43" t="s">
        <v>134</v>
      </c>
      <c r="C35" s="88" t="s">
        <v>144</v>
      </c>
      <c r="D35" s="47" t="s">
        <v>133</v>
      </c>
      <c r="E35" s="47">
        <v>220</v>
      </c>
      <c r="F35" s="47" t="s">
        <v>137</v>
      </c>
      <c r="G35" s="25" t="s">
        <v>155</v>
      </c>
      <c r="H35" s="26">
        <v>42736</v>
      </c>
      <c r="I35" s="26">
        <v>50040</v>
      </c>
      <c r="J35" s="16" t="str">
        <f t="shared" si="4"/>
        <v>Nogales 220</v>
      </c>
      <c r="K35" s="44">
        <f t="shared" si="5"/>
        <v>5636.9281524926682</v>
      </c>
      <c r="L35" s="44">
        <f t="shared" si="6"/>
        <v>53.793995040546875</v>
      </c>
      <c r="M35" s="56">
        <f t="shared" si="7"/>
        <v>0.68200000000000005</v>
      </c>
      <c r="N35" s="56">
        <f t="shared" si="8"/>
        <v>74.605000000000004</v>
      </c>
      <c r="O35" s="45">
        <f t="shared" si="9"/>
        <v>7857.6859999999997</v>
      </c>
      <c r="P35" s="45">
        <f t="shared" si="10"/>
        <v>105.32385228872059</v>
      </c>
      <c r="S35" s="48">
        <f t="shared" si="11"/>
        <v>5636.9281524926682</v>
      </c>
      <c r="T35" s="48">
        <f t="shared" si="12"/>
        <v>53.793995040546875</v>
      </c>
      <c r="U35" s="48">
        <f>('[4]FACTURACION SEP17'!L62)/1000</f>
        <v>0.68200000000000005</v>
      </c>
      <c r="V35" s="48">
        <f>('[4]FACTURACION SEP17'!K62)/1000</f>
        <v>74.605000000000004</v>
      </c>
      <c r="W35" s="48">
        <f>('[4]FACTURACION SEP17'!P62)/1000</f>
        <v>3844.3850000000002</v>
      </c>
      <c r="X35" s="48">
        <f>('[4]FACTURACION SEP17'!O62)/1000</f>
        <v>4013.3009999999999</v>
      </c>
      <c r="Y35" s="48">
        <f>('[4]FACTURACION SEP17'!Q62)/1000</f>
        <v>0</v>
      </c>
      <c r="Z35" s="48">
        <f t="shared" si="13"/>
        <v>7857.6859999999997</v>
      </c>
      <c r="AA35" s="48">
        <f t="shared" si="14"/>
        <v>105.32385228872059</v>
      </c>
      <c r="AD35" s="44">
        <f>+INDEX([2]Precios!$B$9:$H$28,MATCH($J35,[2]Precios!$B$9:$B$28,0),7)</f>
        <v>5636.9283999999998</v>
      </c>
      <c r="AE35" s="44">
        <f>+INDEX([2]Precios!$B$9:$H$28,MATCH($J35,[2]Precios!$B$9:$B$28,0),6)</f>
        <v>53.793999999999997</v>
      </c>
      <c r="AF35" s="68">
        <f t="shared" si="20"/>
        <v>0.68200000000000005</v>
      </c>
      <c r="AG35" s="68">
        <f t="shared" si="21"/>
        <v>74.605000000000004</v>
      </c>
      <c r="AH35" s="68">
        <f t="shared" si="22"/>
        <v>3844.3851688</v>
      </c>
      <c r="AI35" s="68">
        <f t="shared" si="23"/>
        <v>4013.3013700000001</v>
      </c>
      <c r="AJ35" s="68"/>
      <c r="AK35" s="69">
        <f t="shared" si="24"/>
        <v>7857.6865388000006</v>
      </c>
      <c r="AL35" s="69">
        <f t="shared" si="25"/>
        <v>105.32385951075665</v>
      </c>
      <c r="AO35" s="44">
        <f t="shared" si="26"/>
        <v>-2.4750733155087801E-4</v>
      </c>
      <c r="AP35" s="44">
        <f t="shared" si="27"/>
        <v>-4.9594531219554483E-6</v>
      </c>
      <c r="AQ35" s="44">
        <f t="shared" si="28"/>
        <v>0</v>
      </c>
      <c r="AR35" s="44">
        <f t="shared" si="29"/>
        <v>0</v>
      </c>
      <c r="AS35" s="44">
        <f t="shared" si="30"/>
        <v>1.6879999975571991E-4</v>
      </c>
      <c r="AT35" s="44">
        <f t="shared" si="31"/>
        <v>3.7000000020270818E-4</v>
      </c>
      <c r="AU35" s="61">
        <f t="shared" si="32"/>
        <v>5.3880000086792279E-4</v>
      </c>
      <c r="AV35" s="44">
        <f t="shared" si="33"/>
        <v>-7.2220360607389011E-6</v>
      </c>
      <c r="AY35" s="44"/>
      <c r="AZ35" s="44"/>
      <c r="BA35" s="44"/>
      <c r="BB35" s="44"/>
      <c r="BC35" s="44"/>
      <c r="BD35" s="44"/>
      <c r="BE35" s="44"/>
      <c r="BF35" s="44"/>
      <c r="BG35" s="44"/>
    </row>
    <row r="36" spans="2:59" hidden="1" x14ac:dyDescent="0.25">
      <c r="B36" s="43" t="s">
        <v>134</v>
      </c>
      <c r="C36" s="88" t="s">
        <v>144</v>
      </c>
      <c r="D36" s="47" t="s">
        <v>135</v>
      </c>
      <c r="E36" s="47">
        <v>220</v>
      </c>
      <c r="F36" s="47" t="s">
        <v>137</v>
      </c>
      <c r="G36" s="25" t="s">
        <v>155</v>
      </c>
      <c r="H36" s="26">
        <v>42736</v>
      </c>
      <c r="I36" s="26">
        <v>50040</v>
      </c>
      <c r="J36" s="16" t="str">
        <f t="shared" si="4"/>
        <v>Pan de Azucar 220</v>
      </c>
      <c r="K36" s="44">
        <f t="shared" si="5"/>
        <v>5537.8144930152785</v>
      </c>
      <c r="L36" s="44">
        <f t="shared" si="6"/>
        <v>53.297000081650239</v>
      </c>
      <c r="M36" s="56">
        <f t="shared" si="7"/>
        <v>44.311</v>
      </c>
      <c r="N36" s="56">
        <f t="shared" si="8"/>
        <v>5425.5810000000001</v>
      </c>
      <c r="O36" s="45">
        <f t="shared" si="9"/>
        <v>534553.28899999999</v>
      </c>
      <c r="P36" s="45">
        <f t="shared" si="10"/>
        <v>98.524616810623598</v>
      </c>
      <c r="S36" s="48">
        <f t="shared" si="11"/>
        <v>5537.8144930152785</v>
      </c>
      <c r="T36" s="48">
        <f t="shared" si="12"/>
        <v>53.297000081650239</v>
      </c>
      <c r="U36" s="48">
        <f>('[4]FACTURACION SEP17'!L63)/1000</f>
        <v>44.311</v>
      </c>
      <c r="V36" s="48">
        <f>('[4]FACTURACION SEP17'!K63)/1000</f>
        <v>5425.5810000000001</v>
      </c>
      <c r="W36" s="48">
        <f>('[4]FACTURACION SEP17'!P63)/1000</f>
        <v>245386.098</v>
      </c>
      <c r="X36" s="48">
        <f>('[4]FACTURACION SEP17'!O63)/1000</f>
        <v>289167.19099999999</v>
      </c>
      <c r="Y36" s="48">
        <f>('[4]FACTURACION SEP17'!Q63)/1000</f>
        <v>0</v>
      </c>
      <c r="Z36" s="48">
        <f t="shared" si="13"/>
        <v>534553.28899999999</v>
      </c>
      <c r="AA36" s="48">
        <f t="shared" si="14"/>
        <v>98.524616810623598</v>
      </c>
      <c r="AD36" s="44">
        <f>+INDEX([2]Precios!$B$9:$H$28,MATCH($J36,[2]Precios!$B$9:$B$28,0),7)</f>
        <v>5537.8145000000004</v>
      </c>
      <c r="AE36" s="44">
        <f>+INDEX([2]Precios!$B$9:$H$28,MATCH($J36,[2]Precios!$B$9:$B$28,0),6)</f>
        <v>53.296999999999997</v>
      </c>
      <c r="AF36" s="68">
        <f t="shared" si="20"/>
        <v>44.311</v>
      </c>
      <c r="AG36" s="68">
        <f t="shared" si="21"/>
        <v>5425.5810000000001</v>
      </c>
      <c r="AH36" s="68">
        <f t="shared" si="22"/>
        <v>245386.09830950003</v>
      </c>
      <c r="AI36" s="68">
        <f t="shared" si="23"/>
        <v>289167.19055699999</v>
      </c>
      <c r="AJ36" s="68"/>
      <c r="AK36" s="69">
        <f t="shared" si="24"/>
        <v>534553.28886650002</v>
      </c>
      <c r="AL36" s="69">
        <f t="shared" si="25"/>
        <v>98.524616786017944</v>
      </c>
      <c r="AO36" s="44">
        <f t="shared" si="26"/>
        <v>-6.9847219492658041E-6</v>
      </c>
      <c r="AP36" s="44">
        <f t="shared" si="27"/>
        <v>8.1650242123032513E-8</v>
      </c>
      <c r="AQ36" s="44">
        <f t="shared" si="28"/>
        <v>0</v>
      </c>
      <c r="AR36" s="44">
        <f t="shared" si="29"/>
        <v>0</v>
      </c>
      <c r="AS36" s="44">
        <f t="shared" si="30"/>
        <v>3.0950002837926149E-4</v>
      </c>
      <c r="AT36" s="44">
        <f t="shared" si="31"/>
        <v>-4.4299999717622995E-4</v>
      </c>
      <c r="AU36" s="61">
        <f t="shared" si="32"/>
        <v>-1.3349996879696846E-4</v>
      </c>
      <c r="AV36" s="44">
        <f t="shared" si="33"/>
        <v>2.4605654402876098E-8</v>
      </c>
      <c r="AY36" s="44"/>
      <c r="AZ36" s="44"/>
      <c r="BA36" s="44"/>
      <c r="BB36" s="44"/>
      <c r="BC36" s="44"/>
      <c r="BD36" s="44"/>
      <c r="BE36" s="44"/>
      <c r="BF36" s="44"/>
      <c r="BG36" s="44"/>
    </row>
    <row r="37" spans="2:59" hidden="1" x14ac:dyDescent="0.25">
      <c r="B37" s="43" t="s">
        <v>134</v>
      </c>
      <c r="C37" s="88" t="s">
        <v>144</v>
      </c>
      <c r="D37" s="47" t="s">
        <v>9</v>
      </c>
      <c r="E37" s="47">
        <v>220</v>
      </c>
      <c r="F37" s="47" t="s">
        <v>137</v>
      </c>
      <c r="G37" s="25" t="s">
        <v>155</v>
      </c>
      <c r="H37" s="26">
        <v>42736</v>
      </c>
      <c r="I37" s="26">
        <v>50040</v>
      </c>
      <c r="J37" s="16" t="str">
        <f t="shared" si="4"/>
        <v>Quillota 220</v>
      </c>
      <c r="K37" s="44">
        <f t="shared" si="5"/>
        <v>5623.9687879070634</v>
      </c>
      <c r="L37" s="44">
        <f t="shared" si="6"/>
        <v>54.633000003252533</v>
      </c>
      <c r="M37" s="56">
        <f t="shared" si="7"/>
        <v>21.434000000000001</v>
      </c>
      <c r="N37" s="56">
        <f t="shared" si="8"/>
        <v>2459.6239999999998</v>
      </c>
      <c r="O37" s="45">
        <f t="shared" si="9"/>
        <v>254920.785</v>
      </c>
      <c r="P37" s="45">
        <f t="shared" si="10"/>
        <v>103.64217660910775</v>
      </c>
      <c r="S37" s="48">
        <f t="shared" si="11"/>
        <v>5623.9687879070634</v>
      </c>
      <c r="T37" s="48">
        <f t="shared" si="12"/>
        <v>54.633000003252533</v>
      </c>
      <c r="U37" s="48">
        <f>('[4]FACTURACION SEP17'!L64)/1000</f>
        <v>21.434000000000001</v>
      </c>
      <c r="V37" s="48">
        <f>('[4]FACTURACION SEP17'!K64)/1000</f>
        <v>2459.6239999999998</v>
      </c>
      <c r="W37" s="48">
        <f>('[4]FACTURACION SEP17'!P64)/1000</f>
        <v>120544.147</v>
      </c>
      <c r="X37" s="48">
        <f>('[4]FACTURACION SEP17'!O64)/1000</f>
        <v>134376.63800000001</v>
      </c>
      <c r="Y37" s="48">
        <f>('[4]FACTURACION SEP17'!Q64)/1000</f>
        <v>0</v>
      </c>
      <c r="Z37" s="48">
        <f t="shared" si="13"/>
        <v>254920.785</v>
      </c>
      <c r="AA37" s="48">
        <f t="shared" si="14"/>
        <v>103.64217660910775</v>
      </c>
      <c r="AD37" s="44">
        <f>+INDEX([2]Precios!$B$9:$H$28,MATCH($J37,[2]Precios!$B$9:$B$28,0),7)</f>
        <v>5623.9687999999996</v>
      </c>
      <c r="AE37" s="44">
        <f>+INDEX([2]Precios!$B$9:$H$28,MATCH($J37,[2]Precios!$B$9:$B$28,0),6)</f>
        <v>54.633000000000003</v>
      </c>
      <c r="AF37" s="68">
        <f t="shared" si="20"/>
        <v>21.434000000000001</v>
      </c>
      <c r="AG37" s="68">
        <f t="shared" si="21"/>
        <v>2459.6239999999998</v>
      </c>
      <c r="AH37" s="68">
        <f t="shared" si="22"/>
        <v>120544.14725919999</v>
      </c>
      <c r="AI37" s="68">
        <f t="shared" si="23"/>
        <v>134376.637992</v>
      </c>
      <c r="AJ37" s="68"/>
      <c r="AK37" s="69">
        <f t="shared" si="24"/>
        <v>254920.7852512</v>
      </c>
      <c r="AL37" s="69">
        <f t="shared" si="25"/>
        <v>103.64217671123717</v>
      </c>
      <c r="AO37" s="44">
        <f t="shared" si="26"/>
        <v>-1.2092936231056228E-5</v>
      </c>
      <c r="AP37" s="44">
        <f t="shared" si="27"/>
        <v>3.2525306892239314E-9</v>
      </c>
      <c r="AQ37" s="44">
        <f t="shared" si="28"/>
        <v>0</v>
      </c>
      <c r="AR37" s="44">
        <f t="shared" si="29"/>
        <v>0</v>
      </c>
      <c r="AS37" s="44">
        <f t="shared" si="30"/>
        <v>2.5919999461621046E-4</v>
      </c>
      <c r="AT37" s="44">
        <f t="shared" si="31"/>
        <v>-8.000002708286047E-6</v>
      </c>
      <c r="AU37" s="61">
        <f t="shared" si="32"/>
        <v>2.5119999190792441E-4</v>
      </c>
      <c r="AV37" s="44">
        <f t="shared" si="33"/>
        <v>-1.0212941958798183E-7</v>
      </c>
      <c r="AY37" s="44"/>
      <c r="AZ37" s="44"/>
      <c r="BA37" s="44"/>
      <c r="BB37" s="44"/>
      <c r="BC37" s="44"/>
      <c r="BD37" s="44"/>
      <c r="BE37" s="44"/>
      <c r="BF37" s="44"/>
      <c r="BG37" s="44"/>
    </row>
    <row r="38" spans="2:59" hidden="1" x14ac:dyDescent="0.25">
      <c r="B38" s="43" t="s">
        <v>134</v>
      </c>
      <c r="C38" s="89" t="s">
        <v>23</v>
      </c>
      <c r="D38" s="47" t="s">
        <v>17</v>
      </c>
      <c r="E38" s="47">
        <v>220</v>
      </c>
      <c r="F38" s="47" t="s">
        <v>137</v>
      </c>
      <c r="G38" s="25" t="s">
        <v>153</v>
      </c>
      <c r="H38" s="26">
        <v>42736</v>
      </c>
      <c r="I38" s="26">
        <v>50040</v>
      </c>
      <c r="J38" s="16" t="str">
        <f t="shared" si="4"/>
        <v>Valdivia 220</v>
      </c>
      <c r="K38" s="44">
        <f t="shared" si="5"/>
        <v>0</v>
      </c>
      <c r="L38" s="44">
        <f t="shared" si="6"/>
        <v>58.02383814401788</v>
      </c>
      <c r="M38" s="56">
        <f t="shared" si="7"/>
        <v>0</v>
      </c>
      <c r="N38" s="56">
        <f t="shared" si="8"/>
        <v>143.61799999999999</v>
      </c>
      <c r="O38" s="45">
        <f t="shared" si="9"/>
        <v>8333.2675865675592</v>
      </c>
      <c r="P38" s="45">
        <f t="shared" si="10"/>
        <v>58.02383814401788</v>
      </c>
      <c r="S38" s="48">
        <f t="shared" si="11"/>
        <v>0</v>
      </c>
      <c r="T38" s="48">
        <f t="shared" si="12"/>
        <v>58.02383814401788</v>
      </c>
      <c r="U38" s="48">
        <f>([6]Compras!F22)/1000</f>
        <v>0</v>
      </c>
      <c r="V38" s="48">
        <f>([6]Compras!C22)/1000</f>
        <v>143.61799999999999</v>
      </c>
      <c r="W38" s="48">
        <f>([6]Compras!H22)/1000</f>
        <v>0</v>
      </c>
      <c r="X38" s="48">
        <f>([6]Compras!E22)/1000</f>
        <v>8333.2675865675592</v>
      </c>
      <c r="Y38" s="48">
        <f>([6]Compras!K22)/1000</f>
        <v>1.1100000000000001</v>
      </c>
      <c r="Z38" s="48">
        <f t="shared" si="13"/>
        <v>8333.2675865675592</v>
      </c>
      <c r="AA38" s="48">
        <f t="shared" si="14"/>
        <v>58.02383814401788</v>
      </c>
      <c r="AD38" s="44">
        <f>+INDEX([2]Precios!$B$9:$H$28,MATCH($J38,[2]Precios!$B$9:$B$28,0),7)</f>
        <v>5817.7003999999997</v>
      </c>
      <c r="AE38" s="44">
        <f>+INDEX([2]Precios!$B$9:$H$28,MATCH($J38,[2]Precios!$B$9:$B$28,0),6)</f>
        <v>60.298000000000002</v>
      </c>
      <c r="AF38" s="68">
        <f t="shared" si="20"/>
        <v>0</v>
      </c>
      <c r="AG38" s="68">
        <f t="shared" si="21"/>
        <v>143.61799999999999</v>
      </c>
      <c r="AH38" s="68">
        <f t="shared" si="22"/>
        <v>0</v>
      </c>
      <c r="AI38" s="68">
        <f t="shared" si="23"/>
        <v>8659.8781639999997</v>
      </c>
      <c r="AJ38" s="68"/>
      <c r="AK38" s="69">
        <f t="shared" si="24"/>
        <v>8659.8781639999997</v>
      </c>
      <c r="AL38" s="69">
        <f t="shared" si="25"/>
        <v>60.298000000000002</v>
      </c>
      <c r="AO38" s="44">
        <f t="shared" si="26"/>
        <v>-5817.7003999999997</v>
      </c>
      <c r="AP38" s="44">
        <f t="shared" si="27"/>
        <v>-2.2741618559821219</v>
      </c>
      <c r="AQ38" s="44">
        <f t="shared" si="28"/>
        <v>0</v>
      </c>
      <c r="AR38" s="44">
        <f t="shared" si="29"/>
        <v>0</v>
      </c>
      <c r="AS38" s="44">
        <f t="shared" si="30"/>
        <v>0</v>
      </c>
      <c r="AT38" s="44">
        <f t="shared" si="31"/>
        <v>326.61057743244055</v>
      </c>
      <c r="AU38" s="61">
        <f t="shared" si="32"/>
        <v>326.61057743244055</v>
      </c>
      <c r="AV38" s="44">
        <f t="shared" si="33"/>
        <v>-2.2741618559821219</v>
      </c>
      <c r="AY38" s="44"/>
      <c r="AZ38" s="44"/>
      <c r="BA38" s="44"/>
      <c r="BB38" s="44"/>
      <c r="BC38" s="44"/>
      <c r="BD38" s="44"/>
      <c r="BE38" s="44"/>
      <c r="BF38" s="44"/>
      <c r="BG38" s="44"/>
    </row>
    <row r="39" spans="2:59" hidden="1" x14ac:dyDescent="0.25">
      <c r="B39" s="43" t="s">
        <v>134</v>
      </c>
      <c r="C39" s="89" t="s">
        <v>23</v>
      </c>
      <c r="D39" s="47" t="s">
        <v>20</v>
      </c>
      <c r="E39" s="47">
        <v>220</v>
      </c>
      <c r="F39" s="47" t="s">
        <v>137</v>
      </c>
      <c r="G39" s="25" t="s">
        <v>153</v>
      </c>
      <c r="H39" s="26">
        <v>42736</v>
      </c>
      <c r="I39" s="26">
        <v>50040</v>
      </c>
      <c r="J39" s="16" t="str">
        <f t="shared" si="4"/>
        <v>Barro Blanco 220</v>
      </c>
      <c r="K39" s="44">
        <f t="shared" si="5"/>
        <v>0</v>
      </c>
      <c r="L39" s="44">
        <f t="shared" si="6"/>
        <v>58.60193542441953</v>
      </c>
      <c r="M39" s="56">
        <f t="shared" si="7"/>
        <v>0</v>
      </c>
      <c r="N39" s="56">
        <f t="shared" si="8"/>
        <v>109.858</v>
      </c>
      <c r="O39" s="45">
        <f t="shared" si="9"/>
        <v>6437.8914218558812</v>
      </c>
      <c r="P39" s="45">
        <f t="shared" si="10"/>
        <v>58.60193542441953</v>
      </c>
      <c r="S39" s="48">
        <f t="shared" si="11"/>
        <v>0</v>
      </c>
      <c r="T39" s="48">
        <f t="shared" si="12"/>
        <v>58.60193542441953</v>
      </c>
      <c r="U39" s="48">
        <f>([6]Compras!F23)/1000</f>
        <v>0</v>
      </c>
      <c r="V39" s="48">
        <f>([6]Compras!C23)/1000</f>
        <v>109.858</v>
      </c>
      <c r="W39" s="48">
        <f>([6]Compras!H23)/1000</f>
        <v>0</v>
      </c>
      <c r="X39" s="48">
        <f>([6]Compras!E23)/1000</f>
        <v>6437.8914218558812</v>
      </c>
      <c r="Y39" s="48">
        <f>([6]Compras!K23)/1000</f>
        <v>10.521000000000001</v>
      </c>
      <c r="Z39" s="48">
        <f t="shared" si="13"/>
        <v>6437.8914218558812</v>
      </c>
      <c r="AA39" s="48">
        <f t="shared" si="14"/>
        <v>58.60193542441953</v>
      </c>
      <c r="AD39" s="44">
        <f>+INDEX([2]Precios!$B$9:$H$28,MATCH($J39,[2]Precios!$B$9:$B$28,0),7)</f>
        <v>5834.0982000000004</v>
      </c>
      <c r="AE39" s="44">
        <f>+INDEX([2]Precios!$B$9:$H$28,MATCH($J39,[2]Precios!$B$9:$B$28,0),6)</f>
        <v>60.933999999999997</v>
      </c>
      <c r="AF39" s="68">
        <f t="shared" si="20"/>
        <v>0</v>
      </c>
      <c r="AG39" s="68">
        <f t="shared" si="21"/>
        <v>109.858</v>
      </c>
      <c r="AH39" s="68">
        <f t="shared" si="22"/>
        <v>0</v>
      </c>
      <c r="AI39" s="68">
        <f t="shared" si="23"/>
        <v>6694.087372</v>
      </c>
      <c r="AJ39" s="68"/>
      <c r="AK39" s="69">
        <f t="shared" si="24"/>
        <v>6694.087372</v>
      </c>
      <c r="AL39" s="69">
        <f t="shared" si="25"/>
        <v>60.933999999999997</v>
      </c>
      <c r="AO39" s="44">
        <f t="shared" si="26"/>
        <v>-5834.0982000000004</v>
      </c>
      <c r="AP39" s="44">
        <f t="shared" si="27"/>
        <v>-2.3320645755804676</v>
      </c>
      <c r="AQ39" s="44">
        <f t="shared" si="28"/>
        <v>0</v>
      </c>
      <c r="AR39" s="44">
        <f t="shared" si="29"/>
        <v>0</v>
      </c>
      <c r="AS39" s="44">
        <f t="shared" si="30"/>
        <v>0</v>
      </c>
      <c r="AT39" s="44">
        <f t="shared" si="31"/>
        <v>256.1959501441188</v>
      </c>
      <c r="AU39" s="61">
        <f t="shared" si="32"/>
        <v>256.1959501441188</v>
      </c>
      <c r="AV39" s="44">
        <f t="shared" si="33"/>
        <v>-2.3320645755804676</v>
      </c>
      <c r="AY39" s="44"/>
      <c r="AZ39" s="44"/>
      <c r="BA39" s="44"/>
      <c r="BB39" s="44"/>
      <c r="BC39" s="44"/>
      <c r="BD39" s="44"/>
      <c r="BE39" s="44"/>
      <c r="BF39" s="44"/>
      <c r="BG39" s="44"/>
    </row>
    <row r="40" spans="2:59" hidden="1" x14ac:dyDescent="0.25">
      <c r="B40" s="43" t="s">
        <v>134</v>
      </c>
      <c r="C40" s="89" t="s">
        <v>23</v>
      </c>
      <c r="D40" s="47" t="s">
        <v>21</v>
      </c>
      <c r="E40" s="47">
        <v>220</v>
      </c>
      <c r="F40" s="47" t="s">
        <v>137</v>
      </c>
      <c r="G40" s="25" t="s">
        <v>153</v>
      </c>
      <c r="H40" s="26">
        <v>42736</v>
      </c>
      <c r="I40" s="26">
        <v>50040</v>
      </c>
      <c r="J40" s="16" t="str">
        <f t="shared" si="4"/>
        <v>Puerto Montt 220</v>
      </c>
      <c r="K40" s="44">
        <f t="shared" si="5"/>
        <v>0</v>
      </c>
      <c r="L40" s="44">
        <f t="shared" si="6"/>
        <v>59.490492355407255</v>
      </c>
      <c r="M40" s="56">
        <f t="shared" si="7"/>
        <v>0</v>
      </c>
      <c r="N40" s="56">
        <f t="shared" si="8"/>
        <v>321.29199999999997</v>
      </c>
      <c r="O40" s="45">
        <f t="shared" si="9"/>
        <v>19113.819269853506</v>
      </c>
      <c r="P40" s="45">
        <f t="shared" si="10"/>
        <v>59.490492355407255</v>
      </c>
      <c r="S40" s="48">
        <f t="shared" si="11"/>
        <v>0</v>
      </c>
      <c r="T40" s="48">
        <f t="shared" si="12"/>
        <v>59.490492355407255</v>
      </c>
      <c r="U40" s="48">
        <f>([6]Compras!F24)/1000</f>
        <v>0</v>
      </c>
      <c r="V40" s="48">
        <f>([6]Compras!C24)/1000</f>
        <v>321.29199999999997</v>
      </c>
      <c r="W40" s="48">
        <f>([6]Compras!H24)/1000</f>
        <v>0</v>
      </c>
      <c r="X40" s="48">
        <f>([6]Compras!E24)/1000</f>
        <v>19113.819269853506</v>
      </c>
      <c r="Y40" s="48">
        <f>([6]Compras!K24)/1000</f>
        <v>0</v>
      </c>
      <c r="Z40" s="48">
        <f t="shared" si="13"/>
        <v>19113.819269853506</v>
      </c>
      <c r="AA40" s="48">
        <f t="shared" si="14"/>
        <v>59.490492355407255</v>
      </c>
      <c r="AD40" s="44">
        <f>+INDEX([2]Precios!$B$9:$H$28,MATCH($J40,[2]Precios!$B$9:$B$28,0),7)</f>
        <v>5921.3765999999996</v>
      </c>
      <c r="AE40" s="44">
        <f>+INDEX([2]Precios!$B$9:$H$28,MATCH($J40,[2]Precios!$B$9:$B$28,0),6)</f>
        <v>61.277000000000001</v>
      </c>
      <c r="AF40" s="68">
        <f t="shared" si="20"/>
        <v>0</v>
      </c>
      <c r="AG40" s="68">
        <f t="shared" si="21"/>
        <v>321.29199999999997</v>
      </c>
      <c r="AH40" s="68">
        <f t="shared" si="22"/>
        <v>0</v>
      </c>
      <c r="AI40" s="68">
        <f t="shared" si="23"/>
        <v>19687.809883999998</v>
      </c>
      <c r="AJ40" s="68"/>
      <c r="AK40" s="69">
        <f t="shared" si="24"/>
        <v>19687.809883999998</v>
      </c>
      <c r="AL40" s="69">
        <f t="shared" si="25"/>
        <v>61.277000000000001</v>
      </c>
      <c r="AO40" s="44">
        <f t="shared" si="26"/>
        <v>-5921.3765999999996</v>
      </c>
      <c r="AP40" s="44">
        <f t="shared" si="27"/>
        <v>-1.7865076445927457</v>
      </c>
      <c r="AQ40" s="44">
        <f t="shared" si="28"/>
        <v>0</v>
      </c>
      <c r="AR40" s="44">
        <f t="shared" si="29"/>
        <v>0</v>
      </c>
      <c r="AS40" s="44">
        <f t="shared" si="30"/>
        <v>0</v>
      </c>
      <c r="AT40" s="44">
        <f t="shared" si="31"/>
        <v>573.99061414649259</v>
      </c>
      <c r="AU40" s="61">
        <f t="shared" si="32"/>
        <v>573.99061414649259</v>
      </c>
      <c r="AV40" s="44">
        <f t="shared" si="33"/>
        <v>-1.7865076445927457</v>
      </c>
      <c r="AY40" s="44"/>
      <c r="AZ40" s="44"/>
      <c r="BA40" s="44"/>
      <c r="BB40" s="44"/>
      <c r="BC40" s="44"/>
      <c r="BD40" s="44"/>
      <c r="BE40" s="44"/>
      <c r="BF40" s="44"/>
      <c r="BG40" s="44"/>
    </row>
    <row r="41" spans="2:59" hidden="1" x14ac:dyDescent="0.25">
      <c r="B41" s="43" t="s">
        <v>134</v>
      </c>
      <c r="C41" s="89" t="s">
        <v>23</v>
      </c>
      <c r="D41" s="47" t="s">
        <v>15</v>
      </c>
      <c r="E41" s="47">
        <v>220</v>
      </c>
      <c r="F41" s="47" t="s">
        <v>137</v>
      </c>
      <c r="G41" s="25" t="s">
        <v>153</v>
      </c>
      <c r="H41" s="26">
        <v>42736</v>
      </c>
      <c r="I41" s="26">
        <v>50040</v>
      </c>
      <c r="J41" s="16" t="str">
        <f t="shared" si="4"/>
        <v>Charrua 220</v>
      </c>
      <c r="K41" s="44">
        <f t="shared" si="5"/>
        <v>0</v>
      </c>
      <c r="L41" s="44">
        <f t="shared" si="6"/>
        <v>49.769893640505359</v>
      </c>
      <c r="M41" s="56">
        <f t="shared" si="7"/>
        <v>0</v>
      </c>
      <c r="N41" s="56">
        <f t="shared" si="8"/>
        <v>1.206</v>
      </c>
      <c r="O41" s="45">
        <f t="shared" si="9"/>
        <v>60.02249173044946</v>
      </c>
      <c r="P41" s="45">
        <f t="shared" si="10"/>
        <v>49.769893640505359</v>
      </c>
      <c r="S41" s="48">
        <f t="shared" si="11"/>
        <v>0</v>
      </c>
      <c r="T41" s="48">
        <f t="shared" si="12"/>
        <v>49.769893640505359</v>
      </c>
      <c r="U41" s="48">
        <f>([6]Compras!F25)/1000</f>
        <v>0</v>
      </c>
      <c r="V41" s="48">
        <f>([6]Compras!C25)/1000</f>
        <v>1.206</v>
      </c>
      <c r="W41" s="48">
        <f>([6]Compras!H25)/1000</f>
        <v>0</v>
      </c>
      <c r="X41" s="48">
        <f>([6]Compras!E25)/1000</f>
        <v>60.02249173044946</v>
      </c>
      <c r="Y41" s="48">
        <f>([6]Compras!K25)/1000</f>
        <v>0</v>
      </c>
      <c r="Z41" s="48">
        <f t="shared" si="13"/>
        <v>60.02249173044946</v>
      </c>
      <c r="AA41" s="48">
        <f t="shared" si="14"/>
        <v>49.769893640505359</v>
      </c>
      <c r="AD41" s="44">
        <f>+INDEX([2]Precios!$B$9:$H$28,MATCH($J41,[2]Precios!$B$9:$B$28,0),7)</f>
        <v>5282.6574000000001</v>
      </c>
      <c r="AE41" s="44">
        <f>+INDEX([2]Precios!$B$9:$H$28,MATCH($J41,[2]Precios!$B$9:$B$28,0),6)</f>
        <v>50.875999999999998</v>
      </c>
      <c r="AF41" s="68">
        <f t="shared" si="20"/>
        <v>0</v>
      </c>
      <c r="AG41" s="68">
        <f t="shared" si="21"/>
        <v>1.206</v>
      </c>
      <c r="AH41" s="68">
        <f t="shared" si="22"/>
        <v>0</v>
      </c>
      <c r="AI41" s="68">
        <f t="shared" si="23"/>
        <v>61.356455999999994</v>
      </c>
      <c r="AJ41" s="68"/>
      <c r="AK41" s="69">
        <f t="shared" si="24"/>
        <v>61.356455999999994</v>
      </c>
      <c r="AL41" s="69">
        <f t="shared" si="25"/>
        <v>50.875999999999998</v>
      </c>
      <c r="AO41" s="44">
        <f t="shared" si="26"/>
        <v>-5282.6574000000001</v>
      </c>
      <c r="AP41" s="44">
        <f t="shared" si="27"/>
        <v>-1.106106359494639</v>
      </c>
      <c r="AQ41" s="44">
        <f t="shared" si="28"/>
        <v>0</v>
      </c>
      <c r="AR41" s="44">
        <f t="shared" si="29"/>
        <v>0</v>
      </c>
      <c r="AS41" s="44">
        <f t="shared" si="30"/>
        <v>0</v>
      </c>
      <c r="AT41" s="44">
        <f t="shared" si="31"/>
        <v>1.3339642695505347</v>
      </c>
      <c r="AU41" s="61">
        <f t="shared" si="32"/>
        <v>1.3339642695505347</v>
      </c>
      <c r="AV41" s="44">
        <f t="shared" si="33"/>
        <v>-1.106106359494639</v>
      </c>
      <c r="AY41" s="44"/>
      <c r="AZ41" s="44"/>
      <c r="BA41" s="44"/>
      <c r="BB41" s="44"/>
      <c r="BC41" s="44"/>
      <c r="BD41" s="44"/>
      <c r="BE41" s="44"/>
      <c r="BF41" s="44"/>
      <c r="BG41" s="44"/>
    </row>
    <row r="42" spans="2:59" hidden="1" x14ac:dyDescent="0.25">
      <c r="B42" s="43" t="s">
        <v>134</v>
      </c>
      <c r="C42" s="89" t="s">
        <v>23</v>
      </c>
      <c r="D42" s="47" t="s">
        <v>16</v>
      </c>
      <c r="E42" s="47">
        <v>220</v>
      </c>
      <c r="F42" s="47" t="s">
        <v>137</v>
      </c>
      <c r="G42" s="25" t="s">
        <v>153</v>
      </c>
      <c r="H42" s="26">
        <v>42736</v>
      </c>
      <c r="I42" s="26">
        <v>50040</v>
      </c>
      <c r="J42" s="16" t="str">
        <f t="shared" si="4"/>
        <v>Temuco 220</v>
      </c>
      <c r="K42" s="44">
        <f t="shared" si="5"/>
        <v>0</v>
      </c>
      <c r="L42" s="44">
        <f t="shared" si="6"/>
        <v>51.183020325931636</v>
      </c>
      <c r="M42" s="56">
        <f t="shared" si="7"/>
        <v>0</v>
      </c>
      <c r="N42" s="56">
        <f t="shared" si="8"/>
        <v>11.582000000000001</v>
      </c>
      <c r="O42" s="45">
        <f t="shared" si="9"/>
        <v>592.80174141494024</v>
      </c>
      <c r="P42" s="45">
        <f t="shared" si="10"/>
        <v>51.183020325931636</v>
      </c>
      <c r="S42" s="48">
        <f t="shared" si="11"/>
        <v>0</v>
      </c>
      <c r="T42" s="48">
        <f t="shared" si="12"/>
        <v>51.183020325931636</v>
      </c>
      <c r="U42" s="48">
        <f>([6]Compras!F26)/1000</f>
        <v>0</v>
      </c>
      <c r="V42" s="48">
        <f>([6]Compras!C26)/1000</f>
        <v>11.582000000000001</v>
      </c>
      <c r="W42" s="48">
        <f>([6]Compras!H26)/1000</f>
        <v>0</v>
      </c>
      <c r="X42" s="48">
        <f>([6]Compras!E26)/1000</f>
        <v>592.80174141494024</v>
      </c>
      <c r="Y42" s="48">
        <f>([6]Compras!K26)/1000</f>
        <v>0</v>
      </c>
      <c r="Z42" s="48">
        <f t="shared" si="13"/>
        <v>592.80174141494024</v>
      </c>
      <c r="AA42" s="48">
        <f t="shared" si="14"/>
        <v>51.183020325931636</v>
      </c>
      <c r="AD42" s="44">
        <f>+INDEX([2]Precios!$B$9:$H$28,MATCH($J42,[2]Precios!$B$9:$B$28,0),7)</f>
        <v>5410.5334999999995</v>
      </c>
      <c r="AE42" s="44">
        <f>+INDEX([2]Precios!$B$9:$H$28,MATCH($J42,[2]Precios!$B$9:$B$28,0),6)</f>
        <v>52.249000000000002</v>
      </c>
      <c r="AF42" s="68">
        <f t="shared" si="20"/>
        <v>0</v>
      </c>
      <c r="AG42" s="68">
        <f t="shared" si="21"/>
        <v>11.582000000000001</v>
      </c>
      <c r="AH42" s="68">
        <f t="shared" si="22"/>
        <v>0</v>
      </c>
      <c r="AI42" s="68">
        <f t="shared" si="23"/>
        <v>605.14791800000012</v>
      </c>
      <c r="AJ42" s="68"/>
      <c r="AK42" s="69">
        <f t="shared" si="24"/>
        <v>605.14791800000012</v>
      </c>
      <c r="AL42" s="69">
        <f t="shared" si="25"/>
        <v>52.249000000000009</v>
      </c>
      <c r="AO42" s="44">
        <f t="shared" si="26"/>
        <v>-5410.5334999999995</v>
      </c>
      <c r="AP42" s="44">
        <f t="shared" si="27"/>
        <v>-1.065979674068366</v>
      </c>
      <c r="AQ42" s="44">
        <f t="shared" si="28"/>
        <v>0</v>
      </c>
      <c r="AR42" s="44">
        <f t="shared" si="29"/>
        <v>0</v>
      </c>
      <c r="AS42" s="44">
        <f t="shared" si="30"/>
        <v>0</v>
      </c>
      <c r="AT42" s="44">
        <f t="shared" si="31"/>
        <v>12.346176585059879</v>
      </c>
      <c r="AU42" s="61">
        <f t="shared" si="32"/>
        <v>12.346176585059879</v>
      </c>
      <c r="AV42" s="44">
        <f t="shared" si="33"/>
        <v>-1.0659796740683731</v>
      </c>
      <c r="AY42" s="44"/>
      <c r="AZ42" s="44"/>
      <c r="BA42" s="44"/>
      <c r="BB42" s="44"/>
      <c r="BC42" s="44"/>
      <c r="BD42" s="44"/>
      <c r="BE42" s="44"/>
      <c r="BF42" s="44"/>
      <c r="BG42" s="44"/>
    </row>
    <row r="43" spans="2:59" hidden="1" x14ac:dyDescent="0.25">
      <c r="B43" s="47" t="s">
        <v>134</v>
      </c>
      <c r="C43" s="89" t="s">
        <v>23</v>
      </c>
      <c r="D43" s="47" t="s">
        <v>150</v>
      </c>
      <c r="E43" s="47">
        <v>220</v>
      </c>
      <c r="F43" s="47" t="s">
        <v>137</v>
      </c>
      <c r="G43" s="59" t="s">
        <v>153</v>
      </c>
      <c r="H43" s="60">
        <v>42736</v>
      </c>
      <c r="I43" s="60">
        <v>50040</v>
      </c>
      <c r="J43" s="16" t="str">
        <f t="shared" si="4"/>
        <v>Los Ciruelos 220</v>
      </c>
      <c r="K43" s="61">
        <f t="shared" si="5"/>
        <v>0</v>
      </c>
      <c r="L43" s="61">
        <f t="shared" si="6"/>
        <v>57.782964277183844</v>
      </c>
      <c r="M43" s="56">
        <f t="shared" si="7"/>
        <v>0</v>
      </c>
      <c r="N43" s="56">
        <f t="shared" si="8"/>
        <v>5.8780000000000001</v>
      </c>
      <c r="O43" s="62">
        <f t="shared" si="9"/>
        <v>339.64826402128665</v>
      </c>
      <c r="P43" s="62">
        <f t="shared" si="10"/>
        <v>57.782964277183844</v>
      </c>
      <c r="S43" s="48">
        <f t="shared" si="11"/>
        <v>0</v>
      </c>
      <c r="T43" s="48">
        <f t="shared" si="12"/>
        <v>57.782964277183844</v>
      </c>
      <c r="U43" s="48">
        <f>([6]Compras!F27)/1000</f>
        <v>0</v>
      </c>
      <c r="V43" s="48">
        <f>([6]Compras!C27)/1000</f>
        <v>5.8780000000000001</v>
      </c>
      <c r="W43" s="48">
        <f>([6]Compras!H27)/1000</f>
        <v>0</v>
      </c>
      <c r="X43" s="48">
        <f>([6]Compras!E27)/1000</f>
        <v>339.64826402128665</v>
      </c>
      <c r="Y43" s="48">
        <f>([6]Compras!K27)/1000</f>
        <v>0</v>
      </c>
      <c r="Z43" s="48">
        <f t="shared" si="13"/>
        <v>339.64826402128665</v>
      </c>
      <c r="AA43" s="48">
        <f t="shared" si="14"/>
        <v>57.782964277183844</v>
      </c>
      <c r="AD43" s="44">
        <f>+INDEX([2]Precios!$B$9:$H$28,MATCH($J43,[2]Precios!$B$9:$B$28,0),7)</f>
        <v>5733.2651999999998</v>
      </c>
      <c r="AE43" s="44">
        <f>+INDEX([2]Precios!$B$9:$H$28,MATCH($J43,[2]Precios!$B$9:$B$28,0),6)</f>
        <v>58.844999999999999</v>
      </c>
      <c r="AF43" s="68">
        <f t="shared" si="20"/>
        <v>0</v>
      </c>
      <c r="AG43" s="68">
        <f t="shared" si="21"/>
        <v>5.8780000000000001</v>
      </c>
      <c r="AH43" s="68">
        <f t="shared" si="22"/>
        <v>0</v>
      </c>
      <c r="AI43" s="68">
        <f t="shared" si="23"/>
        <v>345.89091000000002</v>
      </c>
      <c r="AJ43" s="68"/>
      <c r="AK43" s="69">
        <f t="shared" si="24"/>
        <v>345.89091000000002</v>
      </c>
      <c r="AL43" s="69">
        <f t="shared" si="25"/>
        <v>58.844999999999999</v>
      </c>
      <c r="AO43" s="44">
        <f t="shared" si="26"/>
        <v>-5733.2651999999998</v>
      </c>
      <c r="AP43" s="44">
        <f t="shared" si="27"/>
        <v>-1.0620357228161552</v>
      </c>
      <c r="AQ43" s="44">
        <f t="shared" si="28"/>
        <v>0</v>
      </c>
      <c r="AR43" s="44">
        <f t="shared" si="29"/>
        <v>0</v>
      </c>
      <c r="AS43" s="44">
        <f t="shared" si="30"/>
        <v>0</v>
      </c>
      <c r="AT43" s="44">
        <f t="shared" si="31"/>
        <v>6.2426459787133695</v>
      </c>
      <c r="AU43" s="61">
        <f t="shared" si="32"/>
        <v>6.2426459787133695</v>
      </c>
      <c r="AV43" s="44">
        <f t="shared" si="33"/>
        <v>-1.0620357228161552</v>
      </c>
      <c r="AY43" s="44"/>
      <c r="AZ43" s="44"/>
      <c r="BA43" s="44"/>
      <c r="BB43" s="44"/>
      <c r="BC43" s="44"/>
      <c r="BD43" s="44"/>
      <c r="BE43" s="44"/>
      <c r="BF43" s="44"/>
      <c r="BG43" s="44"/>
    </row>
    <row r="44" spans="2:59" hidden="1" x14ac:dyDescent="0.25">
      <c r="B44" s="43" t="s">
        <v>134</v>
      </c>
      <c r="C44" s="89" t="s">
        <v>23</v>
      </c>
      <c r="D44" s="47" t="s">
        <v>17</v>
      </c>
      <c r="E44" s="47">
        <v>220</v>
      </c>
      <c r="F44" s="47" t="s">
        <v>137</v>
      </c>
      <c r="G44" s="25" t="s">
        <v>154</v>
      </c>
      <c r="H44" s="26">
        <v>42736</v>
      </c>
      <c r="I44" s="26">
        <v>50040</v>
      </c>
      <c r="J44" s="16" t="str">
        <f t="shared" si="4"/>
        <v>Valdivia 220</v>
      </c>
      <c r="K44" s="44">
        <f t="shared" si="5"/>
        <v>0</v>
      </c>
      <c r="L44" s="44">
        <f t="shared" si="6"/>
        <v>58.023838144017873</v>
      </c>
      <c r="M44" s="56">
        <f t="shared" si="7"/>
        <v>0</v>
      </c>
      <c r="N44" s="56">
        <f t="shared" si="8"/>
        <v>212.47900000000001</v>
      </c>
      <c r="O44" s="45">
        <f t="shared" si="9"/>
        <v>12328.847105002775</v>
      </c>
      <c r="P44" s="45">
        <f t="shared" si="10"/>
        <v>58.023838144017873</v>
      </c>
      <c r="S44" s="48">
        <f t="shared" si="11"/>
        <v>0</v>
      </c>
      <c r="T44" s="48">
        <f t="shared" si="12"/>
        <v>58.023838144017873</v>
      </c>
      <c r="U44" s="48">
        <f>([6]Compras!F33)/1000</f>
        <v>0</v>
      </c>
      <c r="V44" s="48">
        <f>([6]Compras!C33)/1000</f>
        <v>212.47900000000001</v>
      </c>
      <c r="W44" s="48">
        <f>([6]Compras!H33)/1000</f>
        <v>0</v>
      </c>
      <c r="X44" s="48">
        <f>([6]Compras!E33)/1000</f>
        <v>12328.847105002775</v>
      </c>
      <c r="Y44" s="48">
        <f>([6]Compras!K33)/1000</f>
        <v>1.6419999999999999</v>
      </c>
      <c r="Z44" s="48">
        <f t="shared" si="13"/>
        <v>12328.847105002775</v>
      </c>
      <c r="AA44" s="48">
        <f t="shared" si="14"/>
        <v>58.023838144017873</v>
      </c>
      <c r="AD44" s="44">
        <f>+INDEX([2]Precios!$B$9:$H$28,MATCH($J44,[2]Precios!$B$9:$B$28,0),7)</f>
        <v>5817.7003999999997</v>
      </c>
      <c r="AE44" s="44">
        <f>+INDEX([2]Precios!$B$9:$H$28,MATCH($J44,[2]Precios!$B$9:$B$28,0),6)</f>
        <v>60.298000000000002</v>
      </c>
      <c r="AF44" s="68">
        <f t="shared" si="20"/>
        <v>0</v>
      </c>
      <c r="AG44" s="68">
        <f t="shared" si="21"/>
        <v>212.47900000000001</v>
      </c>
      <c r="AH44" s="68">
        <f t="shared" si="22"/>
        <v>0</v>
      </c>
      <c r="AI44" s="68">
        <f t="shared" si="23"/>
        <v>12812.058742000001</v>
      </c>
      <c r="AJ44" s="68"/>
      <c r="AK44" s="69">
        <f t="shared" si="24"/>
        <v>12812.058742000001</v>
      </c>
      <c r="AL44" s="69">
        <f t="shared" si="25"/>
        <v>60.298000000000002</v>
      </c>
      <c r="AO44" s="44">
        <f t="shared" si="26"/>
        <v>-5817.7003999999997</v>
      </c>
      <c r="AP44" s="44">
        <f t="shared" si="27"/>
        <v>-2.2741618559821291</v>
      </c>
      <c r="AQ44" s="44">
        <f t="shared" si="28"/>
        <v>0</v>
      </c>
      <c r="AR44" s="44">
        <f t="shared" si="29"/>
        <v>0</v>
      </c>
      <c r="AS44" s="44">
        <f t="shared" si="30"/>
        <v>0</v>
      </c>
      <c r="AT44" s="44">
        <f t="shared" si="31"/>
        <v>483.21163699722638</v>
      </c>
      <c r="AU44" s="61">
        <f t="shared" si="32"/>
        <v>483.21163699722638</v>
      </c>
      <c r="AV44" s="44">
        <f t="shared" si="33"/>
        <v>-2.2741618559821291</v>
      </c>
      <c r="AY44" s="44"/>
      <c r="AZ44" s="44"/>
      <c r="BA44" s="44"/>
      <c r="BB44" s="44"/>
      <c r="BC44" s="44"/>
      <c r="BD44" s="44"/>
      <c r="BE44" s="44"/>
      <c r="BF44" s="44"/>
      <c r="BG44" s="44"/>
    </row>
    <row r="45" spans="2:59" hidden="1" x14ac:dyDescent="0.25">
      <c r="B45" s="43" t="s">
        <v>134</v>
      </c>
      <c r="C45" s="89" t="s">
        <v>23</v>
      </c>
      <c r="D45" s="47" t="s">
        <v>20</v>
      </c>
      <c r="E45" s="47">
        <v>220</v>
      </c>
      <c r="F45" s="47" t="s">
        <v>137</v>
      </c>
      <c r="G45" s="25" t="s">
        <v>154</v>
      </c>
      <c r="H45" s="26">
        <v>42736</v>
      </c>
      <c r="I45" s="26">
        <v>50040</v>
      </c>
      <c r="J45" s="16" t="str">
        <f t="shared" si="4"/>
        <v>Barro Blanco 220</v>
      </c>
      <c r="K45" s="44">
        <f t="shared" si="5"/>
        <v>0</v>
      </c>
      <c r="L45" s="44">
        <f t="shared" si="6"/>
        <v>58.60193542441953</v>
      </c>
      <c r="M45" s="56">
        <f t="shared" si="7"/>
        <v>0</v>
      </c>
      <c r="N45" s="56">
        <f t="shared" si="8"/>
        <v>157.97</v>
      </c>
      <c r="O45" s="45">
        <f t="shared" si="9"/>
        <v>9257.3477389955533</v>
      </c>
      <c r="P45" s="45">
        <f t="shared" si="10"/>
        <v>58.60193542441953</v>
      </c>
      <c r="S45" s="48">
        <f t="shared" si="11"/>
        <v>0</v>
      </c>
      <c r="T45" s="48">
        <f t="shared" si="12"/>
        <v>58.60193542441953</v>
      </c>
      <c r="U45" s="48">
        <f>([6]Compras!F34)/1000</f>
        <v>0</v>
      </c>
      <c r="V45" s="48">
        <f>([6]Compras!C34)/1000</f>
        <v>157.97</v>
      </c>
      <c r="W45" s="48">
        <f>([6]Compras!H34)/1000</f>
        <v>0</v>
      </c>
      <c r="X45" s="48">
        <f>([6]Compras!E34)/1000</f>
        <v>9257.3477389955533</v>
      </c>
      <c r="Y45" s="48">
        <f>([6]Compras!K34)/1000</f>
        <v>15.129</v>
      </c>
      <c r="Z45" s="48">
        <f t="shared" si="13"/>
        <v>9257.3477389955533</v>
      </c>
      <c r="AA45" s="48">
        <f t="shared" si="14"/>
        <v>58.60193542441953</v>
      </c>
      <c r="AD45" s="44">
        <f>+INDEX([2]Precios!$B$9:$H$28,MATCH($J45,[2]Precios!$B$9:$B$28,0),7)</f>
        <v>5834.0982000000004</v>
      </c>
      <c r="AE45" s="44">
        <f>+INDEX([2]Precios!$B$9:$H$28,MATCH($J45,[2]Precios!$B$9:$B$28,0),6)</f>
        <v>60.933999999999997</v>
      </c>
      <c r="AF45" s="68">
        <f t="shared" si="20"/>
        <v>0</v>
      </c>
      <c r="AG45" s="68">
        <f t="shared" si="21"/>
        <v>157.97</v>
      </c>
      <c r="AH45" s="68">
        <f t="shared" si="22"/>
        <v>0</v>
      </c>
      <c r="AI45" s="68">
        <f t="shared" si="23"/>
        <v>9625.7439799999993</v>
      </c>
      <c r="AJ45" s="68"/>
      <c r="AK45" s="69">
        <f t="shared" si="24"/>
        <v>9625.7439799999993</v>
      </c>
      <c r="AL45" s="69">
        <f t="shared" si="25"/>
        <v>60.933999999999997</v>
      </c>
      <c r="AO45" s="44">
        <f t="shared" si="26"/>
        <v>-5834.0982000000004</v>
      </c>
      <c r="AP45" s="44">
        <f t="shared" si="27"/>
        <v>-2.3320645755804676</v>
      </c>
      <c r="AQ45" s="44">
        <f t="shared" si="28"/>
        <v>0</v>
      </c>
      <c r="AR45" s="44">
        <f t="shared" si="29"/>
        <v>0</v>
      </c>
      <c r="AS45" s="44">
        <f t="shared" si="30"/>
        <v>0</v>
      </c>
      <c r="AT45" s="44">
        <f t="shared" si="31"/>
        <v>368.39624100444598</v>
      </c>
      <c r="AU45" s="61">
        <f t="shared" si="32"/>
        <v>368.39624100444598</v>
      </c>
      <c r="AV45" s="44">
        <f t="shared" si="33"/>
        <v>-2.3320645755804676</v>
      </c>
      <c r="AY45" s="44"/>
      <c r="AZ45" s="44"/>
      <c r="BA45" s="44"/>
      <c r="BB45" s="44"/>
      <c r="BC45" s="44"/>
      <c r="BD45" s="44"/>
      <c r="BE45" s="44"/>
      <c r="BF45" s="44"/>
      <c r="BG45" s="44"/>
    </row>
    <row r="46" spans="2:59" hidden="1" x14ac:dyDescent="0.25">
      <c r="B46" s="43" t="s">
        <v>134</v>
      </c>
      <c r="C46" s="89" t="s">
        <v>23</v>
      </c>
      <c r="D46" s="47" t="s">
        <v>21</v>
      </c>
      <c r="E46" s="47">
        <v>220</v>
      </c>
      <c r="F46" s="47" t="s">
        <v>137</v>
      </c>
      <c r="G46" s="25" t="s">
        <v>154</v>
      </c>
      <c r="H46" s="26">
        <v>42736</v>
      </c>
      <c r="I46" s="26">
        <v>50040</v>
      </c>
      <c r="J46" s="16" t="str">
        <f t="shared" si="4"/>
        <v>Puerto Montt 220</v>
      </c>
      <c r="K46" s="44">
        <f t="shared" si="5"/>
        <v>0</v>
      </c>
      <c r="L46" s="44">
        <f t="shared" si="6"/>
        <v>59.490492355407255</v>
      </c>
      <c r="M46" s="56">
        <f t="shared" si="7"/>
        <v>0</v>
      </c>
      <c r="N46" s="56">
        <f t="shared" si="8"/>
        <v>450.072</v>
      </c>
      <c r="O46" s="45">
        <f t="shared" si="9"/>
        <v>26775.004875382856</v>
      </c>
      <c r="P46" s="45">
        <f t="shared" si="10"/>
        <v>59.490492355407255</v>
      </c>
      <c r="S46" s="48">
        <f t="shared" si="11"/>
        <v>0</v>
      </c>
      <c r="T46" s="48">
        <f t="shared" si="12"/>
        <v>59.490492355407255</v>
      </c>
      <c r="U46" s="48">
        <f>([6]Compras!F35)/1000</f>
        <v>0</v>
      </c>
      <c r="V46" s="48">
        <f>([6]Compras!C35)/1000</f>
        <v>450.072</v>
      </c>
      <c r="W46" s="48">
        <f>([6]Compras!H35)/1000</f>
        <v>0</v>
      </c>
      <c r="X46" s="48">
        <f>([6]Compras!E35)/1000</f>
        <v>26775.004875382856</v>
      </c>
      <c r="Y46" s="48">
        <f>([6]Compras!K35)/1000</f>
        <v>0</v>
      </c>
      <c r="Z46" s="48">
        <f t="shared" si="13"/>
        <v>26775.004875382856</v>
      </c>
      <c r="AA46" s="48">
        <f t="shared" si="14"/>
        <v>59.490492355407255</v>
      </c>
      <c r="AD46" s="44">
        <f>+INDEX([2]Precios!$B$9:$H$28,MATCH($J46,[2]Precios!$B$9:$B$28,0),7)</f>
        <v>5921.3765999999996</v>
      </c>
      <c r="AE46" s="44">
        <f>+INDEX([2]Precios!$B$9:$H$28,MATCH($J46,[2]Precios!$B$9:$B$28,0),6)</f>
        <v>61.277000000000001</v>
      </c>
      <c r="AF46" s="68">
        <f t="shared" si="20"/>
        <v>0</v>
      </c>
      <c r="AG46" s="68">
        <f t="shared" si="21"/>
        <v>450.072</v>
      </c>
      <c r="AH46" s="68">
        <f t="shared" si="22"/>
        <v>0</v>
      </c>
      <c r="AI46" s="68">
        <f t="shared" si="23"/>
        <v>27579.061944000001</v>
      </c>
      <c r="AJ46" s="68"/>
      <c r="AK46" s="69">
        <f t="shared" si="24"/>
        <v>27579.061944000001</v>
      </c>
      <c r="AL46" s="69">
        <f t="shared" si="25"/>
        <v>61.277000000000001</v>
      </c>
      <c r="AO46" s="44">
        <f t="shared" si="26"/>
        <v>-5921.3765999999996</v>
      </c>
      <c r="AP46" s="44">
        <f t="shared" si="27"/>
        <v>-1.7865076445927457</v>
      </c>
      <c r="AQ46" s="44">
        <f t="shared" si="28"/>
        <v>0</v>
      </c>
      <c r="AR46" s="44">
        <f t="shared" si="29"/>
        <v>0</v>
      </c>
      <c r="AS46" s="44">
        <f t="shared" si="30"/>
        <v>0</v>
      </c>
      <c r="AT46" s="44">
        <f t="shared" si="31"/>
        <v>804.05706861714498</v>
      </c>
      <c r="AU46" s="61">
        <f t="shared" si="32"/>
        <v>804.05706861714498</v>
      </c>
      <c r="AV46" s="44">
        <f t="shared" si="33"/>
        <v>-1.7865076445927457</v>
      </c>
      <c r="AY46" s="44"/>
      <c r="AZ46" s="44"/>
      <c r="BA46" s="44"/>
      <c r="BB46" s="44"/>
      <c r="BC46" s="44"/>
      <c r="BD46" s="44"/>
      <c r="BE46" s="44"/>
      <c r="BF46" s="44"/>
      <c r="BG46" s="44"/>
    </row>
    <row r="47" spans="2:59" hidden="1" x14ac:dyDescent="0.25">
      <c r="B47" s="43" t="s">
        <v>134</v>
      </c>
      <c r="C47" s="89" t="s">
        <v>23</v>
      </c>
      <c r="D47" s="47" t="s">
        <v>15</v>
      </c>
      <c r="E47" s="47">
        <v>220</v>
      </c>
      <c r="F47" s="47" t="s">
        <v>137</v>
      </c>
      <c r="G47" s="25" t="s">
        <v>154</v>
      </c>
      <c r="H47" s="26">
        <v>42736</v>
      </c>
      <c r="I47" s="26">
        <v>50040</v>
      </c>
      <c r="J47" s="16" t="str">
        <f t="shared" si="4"/>
        <v>Charrua 220</v>
      </c>
      <c r="K47" s="44">
        <f t="shared" si="5"/>
        <v>0</v>
      </c>
      <c r="L47" s="44">
        <f t="shared" si="6"/>
        <v>49.769893640505366</v>
      </c>
      <c r="M47" s="56">
        <f t="shared" si="7"/>
        <v>0</v>
      </c>
      <c r="N47" s="56">
        <f t="shared" si="8"/>
        <v>1.55</v>
      </c>
      <c r="O47" s="45">
        <f t="shared" si="9"/>
        <v>77.143335142783314</v>
      </c>
      <c r="P47" s="45">
        <f t="shared" si="10"/>
        <v>49.769893640505366</v>
      </c>
      <c r="S47" s="48">
        <f t="shared" si="11"/>
        <v>0</v>
      </c>
      <c r="T47" s="48">
        <f t="shared" si="12"/>
        <v>49.769893640505366</v>
      </c>
      <c r="U47" s="48">
        <f>([6]Compras!F36)/1000</f>
        <v>0</v>
      </c>
      <c r="V47" s="48">
        <f>([6]Compras!C36)/1000</f>
        <v>1.55</v>
      </c>
      <c r="W47" s="48">
        <f>([6]Compras!H36)/1000</f>
        <v>0</v>
      </c>
      <c r="X47" s="48">
        <f>([6]Compras!E36)/1000</f>
        <v>77.143335142783314</v>
      </c>
      <c r="Y47" s="48">
        <f>([6]Compras!K36)/1000</f>
        <v>0</v>
      </c>
      <c r="Z47" s="48">
        <f t="shared" si="13"/>
        <v>77.143335142783314</v>
      </c>
      <c r="AA47" s="48">
        <f t="shared" si="14"/>
        <v>49.769893640505366</v>
      </c>
      <c r="AD47" s="44">
        <f>+INDEX([2]Precios!$B$9:$H$28,MATCH($J47,[2]Precios!$B$9:$B$28,0),7)</f>
        <v>5282.6574000000001</v>
      </c>
      <c r="AE47" s="44">
        <f>+INDEX([2]Precios!$B$9:$H$28,MATCH($J47,[2]Precios!$B$9:$B$28,0),6)</f>
        <v>50.875999999999998</v>
      </c>
      <c r="AF47" s="68">
        <f t="shared" si="20"/>
        <v>0</v>
      </c>
      <c r="AG47" s="68">
        <f t="shared" si="21"/>
        <v>1.55</v>
      </c>
      <c r="AH47" s="68">
        <f t="shared" si="22"/>
        <v>0</v>
      </c>
      <c r="AI47" s="68">
        <f t="shared" si="23"/>
        <v>78.857799999999997</v>
      </c>
      <c r="AJ47" s="68"/>
      <c r="AK47" s="69">
        <f t="shared" si="24"/>
        <v>78.857799999999997</v>
      </c>
      <c r="AL47" s="69">
        <f t="shared" si="25"/>
        <v>50.875999999999998</v>
      </c>
      <c r="AO47" s="44">
        <f t="shared" si="26"/>
        <v>-5282.6574000000001</v>
      </c>
      <c r="AP47" s="44">
        <f t="shared" si="27"/>
        <v>-1.1061063594946319</v>
      </c>
      <c r="AQ47" s="44">
        <f t="shared" si="28"/>
        <v>0</v>
      </c>
      <c r="AR47" s="44">
        <f t="shared" si="29"/>
        <v>0</v>
      </c>
      <c r="AS47" s="44">
        <f t="shared" si="30"/>
        <v>0</v>
      </c>
      <c r="AT47" s="44">
        <f t="shared" si="31"/>
        <v>1.714464857216683</v>
      </c>
      <c r="AU47" s="61">
        <f t="shared" si="32"/>
        <v>1.714464857216683</v>
      </c>
      <c r="AV47" s="44">
        <f t="shared" si="33"/>
        <v>-1.1061063594946319</v>
      </c>
      <c r="AY47" s="44"/>
      <c r="AZ47" s="44"/>
      <c r="BA47" s="44"/>
      <c r="BB47" s="44"/>
      <c r="BC47" s="44"/>
      <c r="BD47" s="44"/>
      <c r="BE47" s="44"/>
      <c r="BF47" s="44"/>
      <c r="BG47" s="44"/>
    </row>
    <row r="48" spans="2:59" hidden="1" x14ac:dyDescent="0.25">
      <c r="B48" s="43" t="s">
        <v>134</v>
      </c>
      <c r="C48" s="89" t="s">
        <v>23</v>
      </c>
      <c r="D48" s="47" t="s">
        <v>16</v>
      </c>
      <c r="E48" s="47">
        <v>220</v>
      </c>
      <c r="F48" s="47" t="s">
        <v>137</v>
      </c>
      <c r="G48" s="25" t="s">
        <v>154</v>
      </c>
      <c r="H48" s="26">
        <v>42736</v>
      </c>
      <c r="I48" s="26">
        <v>50040</v>
      </c>
      <c r="J48" s="16" t="str">
        <f t="shared" si="4"/>
        <v>Temuco 220</v>
      </c>
      <c r="K48" s="44">
        <f t="shared" si="5"/>
        <v>0</v>
      </c>
      <c r="L48" s="44">
        <f t="shared" si="6"/>
        <v>51.183020325931643</v>
      </c>
      <c r="M48" s="56">
        <f t="shared" si="7"/>
        <v>0</v>
      </c>
      <c r="N48" s="56">
        <f t="shared" si="8"/>
        <v>14.89</v>
      </c>
      <c r="O48" s="45">
        <f t="shared" si="9"/>
        <v>762.11517265312216</v>
      </c>
      <c r="P48" s="45">
        <f t="shared" si="10"/>
        <v>51.183020325931643</v>
      </c>
      <c r="S48" s="48">
        <f t="shared" si="11"/>
        <v>0</v>
      </c>
      <c r="T48" s="48">
        <f t="shared" si="12"/>
        <v>51.183020325931643</v>
      </c>
      <c r="U48" s="48">
        <f>([6]Compras!F37)/1000</f>
        <v>0</v>
      </c>
      <c r="V48" s="48">
        <f>([6]Compras!C37)/1000</f>
        <v>14.89</v>
      </c>
      <c r="W48" s="48">
        <f>([6]Compras!H37)/1000</f>
        <v>0</v>
      </c>
      <c r="X48" s="48">
        <f>([6]Compras!E37)/1000</f>
        <v>762.11517265312216</v>
      </c>
      <c r="Y48" s="48">
        <f>([6]Compras!K37)/1000</f>
        <v>0</v>
      </c>
      <c r="Z48" s="48">
        <f t="shared" si="13"/>
        <v>762.11517265312216</v>
      </c>
      <c r="AA48" s="48">
        <f t="shared" si="14"/>
        <v>51.183020325931643</v>
      </c>
      <c r="AD48" s="44">
        <f>+INDEX([2]Precios!$B$9:$H$28,MATCH($J48,[2]Precios!$B$9:$B$28,0),7)</f>
        <v>5410.5334999999995</v>
      </c>
      <c r="AE48" s="44">
        <f>+INDEX([2]Precios!$B$9:$H$28,MATCH($J48,[2]Precios!$B$9:$B$28,0),6)</f>
        <v>52.249000000000002</v>
      </c>
      <c r="AF48" s="68">
        <f t="shared" si="20"/>
        <v>0</v>
      </c>
      <c r="AG48" s="68">
        <f t="shared" si="21"/>
        <v>14.89</v>
      </c>
      <c r="AH48" s="68">
        <f t="shared" si="22"/>
        <v>0</v>
      </c>
      <c r="AI48" s="68">
        <f t="shared" si="23"/>
        <v>777.98761000000002</v>
      </c>
      <c r="AJ48" s="68"/>
      <c r="AK48" s="69">
        <f t="shared" si="24"/>
        <v>777.98761000000002</v>
      </c>
      <c r="AL48" s="69">
        <f t="shared" si="25"/>
        <v>52.249000000000002</v>
      </c>
      <c r="AO48" s="44">
        <f t="shared" si="26"/>
        <v>-5410.5334999999995</v>
      </c>
      <c r="AP48" s="44">
        <f t="shared" si="27"/>
        <v>-1.0659796740683589</v>
      </c>
      <c r="AQ48" s="44">
        <f t="shared" si="28"/>
        <v>0</v>
      </c>
      <c r="AR48" s="44">
        <f t="shared" si="29"/>
        <v>0</v>
      </c>
      <c r="AS48" s="44">
        <f t="shared" si="30"/>
        <v>0</v>
      </c>
      <c r="AT48" s="44">
        <f t="shared" si="31"/>
        <v>15.872437346877859</v>
      </c>
      <c r="AU48" s="61">
        <f t="shared" si="32"/>
        <v>15.872437346877859</v>
      </c>
      <c r="AV48" s="44">
        <f t="shared" si="33"/>
        <v>-1.0659796740683589</v>
      </c>
      <c r="AY48" s="44"/>
      <c r="AZ48" s="44"/>
      <c r="BA48" s="44"/>
      <c r="BB48" s="44"/>
      <c r="BC48" s="44"/>
      <c r="BD48" s="44"/>
      <c r="BE48" s="44"/>
      <c r="BF48" s="44"/>
      <c r="BG48" s="44"/>
    </row>
    <row r="49" spans="2:59" hidden="1" x14ac:dyDescent="0.25">
      <c r="B49" s="43" t="s">
        <v>134</v>
      </c>
      <c r="C49" s="89" t="s">
        <v>23</v>
      </c>
      <c r="D49" s="47" t="s">
        <v>150</v>
      </c>
      <c r="E49" s="47">
        <v>220</v>
      </c>
      <c r="F49" s="47" t="s">
        <v>137</v>
      </c>
      <c r="G49" s="25" t="s">
        <v>154</v>
      </c>
      <c r="H49" s="26">
        <v>42736</v>
      </c>
      <c r="I49" s="26">
        <v>50040</v>
      </c>
      <c r="J49" s="16" t="str">
        <f t="shared" si="4"/>
        <v>Los Ciruelos 220</v>
      </c>
      <c r="K49" s="44">
        <f t="shared" si="5"/>
        <v>0</v>
      </c>
      <c r="L49" s="44">
        <f t="shared" si="6"/>
        <v>57.782964277183851</v>
      </c>
      <c r="M49" s="56">
        <f t="shared" si="7"/>
        <v>0</v>
      </c>
      <c r="N49" s="56">
        <f t="shared" si="8"/>
        <v>8.6579999999999995</v>
      </c>
      <c r="O49" s="45">
        <f t="shared" si="9"/>
        <v>500.28490471185773</v>
      </c>
      <c r="P49" s="45">
        <f t="shared" si="10"/>
        <v>57.782964277183851</v>
      </c>
      <c r="S49" s="48">
        <f t="shared" si="11"/>
        <v>0</v>
      </c>
      <c r="T49" s="48">
        <f t="shared" si="12"/>
        <v>57.782964277183851</v>
      </c>
      <c r="U49" s="48">
        <f>([6]Compras!F38)/1000</f>
        <v>0</v>
      </c>
      <c r="V49" s="48">
        <f>([6]Compras!C38)/1000</f>
        <v>8.6579999999999995</v>
      </c>
      <c r="W49" s="48">
        <f>([6]Compras!H38)/1000</f>
        <v>0</v>
      </c>
      <c r="X49" s="48">
        <f>([6]Compras!E38)/1000</f>
        <v>500.28490471185773</v>
      </c>
      <c r="Y49" s="48">
        <f>([6]Compras!K38)/1000</f>
        <v>0</v>
      </c>
      <c r="Z49" s="48">
        <f t="shared" si="13"/>
        <v>500.28490471185773</v>
      </c>
      <c r="AA49" s="48">
        <f t="shared" si="14"/>
        <v>57.782964277183851</v>
      </c>
      <c r="AD49" s="44">
        <f>+INDEX([2]Precios!$B$9:$H$28,MATCH($J49,[2]Precios!$B$9:$B$28,0),7)</f>
        <v>5733.2651999999998</v>
      </c>
      <c r="AE49" s="44">
        <f>+INDEX([2]Precios!$B$9:$H$28,MATCH($J49,[2]Precios!$B$9:$B$28,0),6)</f>
        <v>58.844999999999999</v>
      </c>
      <c r="AF49" s="68">
        <f t="shared" si="20"/>
        <v>0</v>
      </c>
      <c r="AG49" s="68">
        <f t="shared" si="21"/>
        <v>8.6579999999999995</v>
      </c>
      <c r="AH49" s="68">
        <f t="shared" si="22"/>
        <v>0</v>
      </c>
      <c r="AI49" s="68">
        <f t="shared" si="23"/>
        <v>509.48000999999994</v>
      </c>
      <c r="AJ49" s="68"/>
      <c r="AK49" s="69">
        <f t="shared" si="24"/>
        <v>509.48000999999994</v>
      </c>
      <c r="AL49" s="69">
        <f t="shared" si="25"/>
        <v>58.844999999999999</v>
      </c>
      <c r="AO49" s="44">
        <f t="shared" si="26"/>
        <v>-5733.2651999999998</v>
      </c>
      <c r="AP49" s="44">
        <f t="shared" si="27"/>
        <v>-1.0620357228161481</v>
      </c>
      <c r="AQ49" s="44">
        <f t="shared" si="28"/>
        <v>0</v>
      </c>
      <c r="AR49" s="44">
        <f t="shared" si="29"/>
        <v>0</v>
      </c>
      <c r="AS49" s="44">
        <f t="shared" si="30"/>
        <v>0</v>
      </c>
      <c r="AT49" s="44">
        <f t="shared" si="31"/>
        <v>9.1951052881422015</v>
      </c>
      <c r="AU49" s="61">
        <f t="shared" si="32"/>
        <v>9.1951052881422015</v>
      </c>
      <c r="AV49" s="44">
        <f t="shared" si="33"/>
        <v>-1.0620357228161481</v>
      </c>
      <c r="AY49" s="44"/>
      <c r="AZ49" s="44"/>
      <c r="BA49" s="44"/>
      <c r="BB49" s="44"/>
      <c r="BC49" s="44"/>
      <c r="BD49" s="44"/>
      <c r="BE49" s="44"/>
      <c r="BF49" s="44"/>
      <c r="BG49" s="44"/>
    </row>
    <row r="50" spans="2:59" hidden="1" x14ac:dyDescent="0.25">
      <c r="B50" s="43" t="s">
        <v>134</v>
      </c>
      <c r="C50" s="89" t="s">
        <v>23</v>
      </c>
      <c r="D50" s="47" t="s">
        <v>17</v>
      </c>
      <c r="E50" s="47">
        <v>220</v>
      </c>
      <c r="F50" s="47" t="s">
        <v>137</v>
      </c>
      <c r="G50" s="25" t="s">
        <v>155</v>
      </c>
      <c r="H50" s="26">
        <v>42736</v>
      </c>
      <c r="I50" s="26">
        <v>50040</v>
      </c>
      <c r="J50" s="16" t="str">
        <f t="shared" si="4"/>
        <v>Valdivia 220</v>
      </c>
      <c r="K50" s="44">
        <f t="shared" si="5"/>
        <v>5344.8146009284192</v>
      </c>
      <c r="L50" s="44">
        <f t="shared" si="6"/>
        <v>58.023838144017866</v>
      </c>
      <c r="M50" s="56">
        <f t="shared" si="7"/>
        <v>0.94099999999999995</v>
      </c>
      <c r="N50" s="56">
        <f t="shared" si="8"/>
        <v>114.241</v>
      </c>
      <c r="O50" s="45">
        <f t="shared" si="9"/>
        <v>11658.171832884387</v>
      </c>
      <c r="P50" s="45">
        <f t="shared" si="10"/>
        <v>102.04893018167196</v>
      </c>
      <c r="S50" s="48">
        <f t="shared" si="11"/>
        <v>5344.8146009284192</v>
      </c>
      <c r="T50" s="48">
        <f t="shared" si="12"/>
        <v>58.023838144017866</v>
      </c>
      <c r="U50" s="48">
        <f>([6]Compras!F44)/1000</f>
        <v>0.94099999999999995</v>
      </c>
      <c r="V50" s="48">
        <f>([6]Compras!C44)/1000</f>
        <v>114.241</v>
      </c>
      <c r="W50" s="48">
        <f>([6]Compras!H44)/1000</f>
        <v>5029.470539473642</v>
      </c>
      <c r="X50" s="48">
        <f>([6]Compras!E44)/1000</f>
        <v>6628.7012934107452</v>
      </c>
      <c r="Y50" s="48">
        <f>([6]Compras!K44)/1000</f>
        <v>0.88300000000000001</v>
      </c>
      <c r="Z50" s="48">
        <f t="shared" si="13"/>
        <v>11658.171832884387</v>
      </c>
      <c r="AA50" s="48">
        <f t="shared" si="14"/>
        <v>102.04893018167196</v>
      </c>
      <c r="AD50" s="44">
        <f>+INDEX([2]Precios!$B$9:$H$28,MATCH($J50,[2]Precios!$B$9:$B$28,0),7)</f>
        <v>5817.7003999999997</v>
      </c>
      <c r="AE50" s="44">
        <f>+INDEX([2]Precios!$B$9:$H$28,MATCH($J50,[2]Precios!$B$9:$B$28,0),6)</f>
        <v>60.298000000000002</v>
      </c>
      <c r="AF50" s="68">
        <f t="shared" si="20"/>
        <v>0.94099999999999995</v>
      </c>
      <c r="AG50" s="68">
        <f t="shared" si="21"/>
        <v>114.241</v>
      </c>
      <c r="AH50" s="68">
        <f t="shared" si="22"/>
        <v>5474.4560763999998</v>
      </c>
      <c r="AI50" s="68">
        <f t="shared" si="23"/>
        <v>6888.5038180000001</v>
      </c>
      <c r="AJ50" s="68"/>
      <c r="AK50" s="69">
        <f t="shared" si="24"/>
        <v>12362.959894399999</v>
      </c>
      <c r="AL50" s="69">
        <f t="shared" si="25"/>
        <v>108.21823946218957</v>
      </c>
      <c r="AO50" s="44">
        <f t="shared" si="26"/>
        <v>-472.88579907158055</v>
      </c>
      <c r="AP50" s="44">
        <f t="shared" si="27"/>
        <v>-2.2741618559821362</v>
      </c>
      <c r="AQ50" s="44">
        <f t="shared" si="28"/>
        <v>0</v>
      </c>
      <c r="AR50" s="44">
        <f t="shared" si="29"/>
        <v>0</v>
      </c>
      <c r="AS50" s="44">
        <f t="shared" si="30"/>
        <v>444.98553692635778</v>
      </c>
      <c r="AT50" s="44">
        <f t="shared" si="31"/>
        <v>259.80252458925497</v>
      </c>
      <c r="AU50" s="61">
        <f t="shared" si="32"/>
        <v>704.78806151561184</v>
      </c>
      <c r="AV50" s="44">
        <f t="shared" si="33"/>
        <v>-6.1693092805176093</v>
      </c>
      <c r="AY50" s="44"/>
      <c r="AZ50" s="44"/>
      <c r="BA50" s="44"/>
      <c r="BB50" s="44"/>
      <c r="BC50" s="44"/>
      <c r="BD50" s="44"/>
      <c r="BE50" s="44"/>
      <c r="BF50" s="44"/>
      <c r="BG50" s="44"/>
    </row>
    <row r="51" spans="2:59" hidden="1" x14ac:dyDescent="0.25">
      <c r="B51" s="43" t="s">
        <v>134</v>
      </c>
      <c r="C51" s="89" t="s">
        <v>23</v>
      </c>
      <c r="D51" s="47" t="s">
        <v>20</v>
      </c>
      <c r="E51" s="47">
        <v>220</v>
      </c>
      <c r="F51" s="47" t="s">
        <v>137</v>
      </c>
      <c r="G51" s="25" t="s">
        <v>155</v>
      </c>
      <c r="H51" s="26">
        <v>42736</v>
      </c>
      <c r="I51" s="26">
        <v>50040</v>
      </c>
      <c r="J51" s="16" t="str">
        <f t="shared" si="4"/>
        <v>Barro Blanco 220</v>
      </c>
      <c r="K51" s="44">
        <f t="shared" si="5"/>
        <v>5356.0965314844661</v>
      </c>
      <c r="L51" s="44">
        <f t="shared" si="6"/>
        <v>58.601935424419537</v>
      </c>
      <c r="M51" s="56">
        <f t="shared" si="7"/>
        <v>0.61299999999999999</v>
      </c>
      <c r="N51" s="56">
        <f t="shared" si="8"/>
        <v>76.662999999999997</v>
      </c>
      <c r="O51" s="45">
        <f t="shared" si="9"/>
        <v>7775.8873492422526</v>
      </c>
      <c r="P51" s="45">
        <f t="shared" si="10"/>
        <v>101.42946857339594</v>
      </c>
      <c r="S51" s="48">
        <f t="shared" si="11"/>
        <v>5356.0965314844661</v>
      </c>
      <c r="T51" s="48">
        <f t="shared" si="12"/>
        <v>58.601935424419537</v>
      </c>
      <c r="U51" s="48">
        <f>([6]Compras!F45)/1000</f>
        <v>0.61299999999999999</v>
      </c>
      <c r="V51" s="48">
        <f>([6]Compras!C45)/1000</f>
        <v>76.662999999999997</v>
      </c>
      <c r="W51" s="48">
        <f>([6]Compras!H45)/1000</f>
        <v>3283.2871737999776</v>
      </c>
      <c r="X51" s="48">
        <f>([6]Compras!E45)/1000</f>
        <v>4492.600175442275</v>
      </c>
      <c r="Y51" s="48">
        <f>([6]Compras!K45)/1000</f>
        <v>7.3419999999999996</v>
      </c>
      <c r="Z51" s="48">
        <f t="shared" si="13"/>
        <v>7775.8873492422526</v>
      </c>
      <c r="AA51" s="48">
        <f t="shared" si="14"/>
        <v>101.42946857339594</v>
      </c>
      <c r="AD51" s="44">
        <f>+INDEX([2]Precios!$B$9:$H$28,MATCH($J51,[2]Precios!$B$9:$B$28,0),7)</f>
        <v>5834.0982000000004</v>
      </c>
      <c r="AE51" s="44">
        <f>+INDEX([2]Precios!$B$9:$H$28,MATCH($J51,[2]Precios!$B$9:$B$28,0),6)</f>
        <v>60.933999999999997</v>
      </c>
      <c r="AF51" s="68">
        <f t="shared" si="20"/>
        <v>0.61299999999999999</v>
      </c>
      <c r="AG51" s="68">
        <f t="shared" si="21"/>
        <v>76.662999999999997</v>
      </c>
      <c r="AH51" s="68">
        <f t="shared" si="22"/>
        <v>3576.3021966000001</v>
      </c>
      <c r="AI51" s="68">
        <f t="shared" si="23"/>
        <v>4671.3832419999999</v>
      </c>
      <c r="AJ51" s="68"/>
      <c r="AK51" s="69">
        <f t="shared" si="24"/>
        <v>8247.6854385999995</v>
      </c>
      <c r="AL51" s="69">
        <f t="shared" si="25"/>
        <v>107.58365102591863</v>
      </c>
      <c r="AO51" s="44">
        <f t="shared" si="26"/>
        <v>-478.00166851553422</v>
      </c>
      <c r="AP51" s="44">
        <f t="shared" si="27"/>
        <v>-2.3320645755804605</v>
      </c>
      <c r="AQ51" s="44">
        <f t="shared" si="28"/>
        <v>0</v>
      </c>
      <c r="AR51" s="44">
        <f t="shared" si="29"/>
        <v>0</v>
      </c>
      <c r="AS51" s="44">
        <f t="shared" si="30"/>
        <v>293.01502280002251</v>
      </c>
      <c r="AT51" s="44">
        <f t="shared" si="31"/>
        <v>178.78306655772485</v>
      </c>
      <c r="AU51" s="61">
        <f t="shared" si="32"/>
        <v>471.7980893577469</v>
      </c>
      <c r="AV51" s="44">
        <f t="shared" si="33"/>
        <v>-6.15418245252269</v>
      </c>
      <c r="AY51" s="44"/>
      <c r="AZ51" s="44"/>
      <c r="BA51" s="44"/>
      <c r="BB51" s="44"/>
      <c r="BC51" s="44"/>
      <c r="BD51" s="44"/>
      <c r="BE51" s="44"/>
      <c r="BF51" s="44"/>
      <c r="BG51" s="44"/>
    </row>
    <row r="52" spans="2:59" hidden="1" x14ac:dyDescent="0.25">
      <c r="B52" s="43" t="s">
        <v>134</v>
      </c>
      <c r="C52" s="89" t="s">
        <v>23</v>
      </c>
      <c r="D52" s="47" t="s">
        <v>21</v>
      </c>
      <c r="E52" s="47">
        <v>220</v>
      </c>
      <c r="F52" s="47" t="s">
        <v>137</v>
      </c>
      <c r="G52" s="25" t="s">
        <v>155</v>
      </c>
      <c r="H52" s="26">
        <v>42736</v>
      </c>
      <c r="I52" s="26">
        <v>50040</v>
      </c>
      <c r="J52" s="16" t="str">
        <f t="shared" si="4"/>
        <v>Puerto Montt 220</v>
      </c>
      <c r="K52" s="44">
        <f t="shared" si="5"/>
        <v>5437.3264314880234</v>
      </c>
      <c r="L52" s="44">
        <f t="shared" si="6"/>
        <v>59.490492355407255</v>
      </c>
      <c r="M52" s="56">
        <f t="shared" si="7"/>
        <v>1.534</v>
      </c>
      <c r="N52" s="56">
        <f t="shared" si="8"/>
        <v>212.154</v>
      </c>
      <c r="O52" s="45">
        <f t="shared" si="9"/>
        <v>20962.004661071696</v>
      </c>
      <c r="P52" s="45">
        <f t="shared" si="10"/>
        <v>98.805606592718959</v>
      </c>
      <c r="S52" s="48">
        <f t="shared" si="11"/>
        <v>5437.3264314880234</v>
      </c>
      <c r="T52" s="48">
        <f t="shared" si="12"/>
        <v>59.490492355407255</v>
      </c>
      <c r="U52" s="48">
        <f>([6]Compras!F46)/1000</f>
        <v>1.534</v>
      </c>
      <c r="V52" s="48">
        <f>([6]Compras!C46)/1000</f>
        <v>212.154</v>
      </c>
      <c r="W52" s="48">
        <f>([6]Compras!H46)/1000</f>
        <v>8340.8587459026276</v>
      </c>
      <c r="X52" s="48">
        <f>([6]Compras!E46)/1000</f>
        <v>12621.145915169071</v>
      </c>
      <c r="Y52" s="48">
        <f>([6]Compras!K46)/1000</f>
        <v>0</v>
      </c>
      <c r="Z52" s="48">
        <f t="shared" si="13"/>
        <v>20962.004661071696</v>
      </c>
      <c r="AA52" s="48">
        <f t="shared" si="14"/>
        <v>98.805606592718959</v>
      </c>
      <c r="AD52" s="44">
        <f>+INDEX([2]Precios!$B$9:$H$28,MATCH($J52,[2]Precios!$B$9:$B$28,0),7)</f>
        <v>5921.3765999999996</v>
      </c>
      <c r="AE52" s="44">
        <f>+INDEX([2]Precios!$B$9:$H$28,MATCH($J52,[2]Precios!$B$9:$B$28,0),6)</f>
        <v>61.277000000000001</v>
      </c>
      <c r="AF52" s="68">
        <f t="shared" si="20"/>
        <v>1.534</v>
      </c>
      <c r="AG52" s="68">
        <f t="shared" si="21"/>
        <v>212.154</v>
      </c>
      <c r="AH52" s="68">
        <f t="shared" si="22"/>
        <v>9083.3917043999991</v>
      </c>
      <c r="AI52" s="68">
        <f t="shared" si="23"/>
        <v>13000.160658000001</v>
      </c>
      <c r="AJ52" s="68"/>
      <c r="AK52" s="69">
        <f t="shared" si="24"/>
        <v>22083.552362399998</v>
      </c>
      <c r="AL52" s="69">
        <f t="shared" si="25"/>
        <v>104.09208576034389</v>
      </c>
      <c r="AO52" s="44">
        <f t="shared" si="26"/>
        <v>-484.05016851197615</v>
      </c>
      <c r="AP52" s="44">
        <f t="shared" si="27"/>
        <v>-1.7865076445927457</v>
      </c>
      <c r="AQ52" s="44">
        <f t="shared" si="28"/>
        <v>0</v>
      </c>
      <c r="AR52" s="44">
        <f t="shared" si="29"/>
        <v>0</v>
      </c>
      <c r="AS52" s="44">
        <f t="shared" si="30"/>
        <v>742.53295849737151</v>
      </c>
      <c r="AT52" s="44">
        <f t="shared" si="31"/>
        <v>379.01474283093012</v>
      </c>
      <c r="AU52" s="61">
        <f t="shared" si="32"/>
        <v>1121.5477013283016</v>
      </c>
      <c r="AV52" s="44">
        <f t="shared" si="33"/>
        <v>-5.2864791676249325</v>
      </c>
      <c r="AY52" s="44"/>
      <c r="AZ52" s="44"/>
      <c r="BA52" s="44"/>
      <c r="BB52" s="44"/>
      <c r="BC52" s="44"/>
      <c r="BD52" s="44"/>
      <c r="BE52" s="44"/>
      <c r="BF52" s="44"/>
      <c r="BG52" s="44"/>
    </row>
    <row r="53" spans="2:59" hidden="1" x14ac:dyDescent="0.25">
      <c r="B53" s="43" t="s">
        <v>134</v>
      </c>
      <c r="C53" s="89" t="s">
        <v>23</v>
      </c>
      <c r="D53" s="47" t="s">
        <v>15</v>
      </c>
      <c r="E53" s="47">
        <v>220</v>
      </c>
      <c r="F53" s="47" t="s">
        <v>137</v>
      </c>
      <c r="G53" s="25" t="s">
        <v>155</v>
      </c>
      <c r="H53" s="26">
        <v>42736</v>
      </c>
      <c r="I53" s="26">
        <v>50040</v>
      </c>
      <c r="J53" s="16" t="str">
        <f t="shared" si="4"/>
        <v>Charrua 220</v>
      </c>
      <c r="K53" s="44">
        <f t="shared" si="5"/>
        <v>5075.7405571666386</v>
      </c>
      <c r="L53" s="44">
        <f t="shared" si="6"/>
        <v>49.769893640505359</v>
      </c>
      <c r="M53" s="56">
        <f t="shared" si="7"/>
        <v>8.0000000000000002E-3</v>
      </c>
      <c r="N53" s="56">
        <f t="shared" si="8"/>
        <v>0.92400000000000004</v>
      </c>
      <c r="O53" s="45">
        <f t="shared" si="9"/>
        <v>86.593306181160074</v>
      </c>
      <c r="P53" s="45">
        <f t="shared" si="10"/>
        <v>93.71569933025981</v>
      </c>
      <c r="S53" s="48">
        <f t="shared" si="11"/>
        <v>5075.7405571666386</v>
      </c>
      <c r="T53" s="48">
        <f t="shared" si="12"/>
        <v>49.769893640505359</v>
      </c>
      <c r="U53" s="48">
        <f>([6]Compras!F47)/1000</f>
        <v>8.0000000000000002E-3</v>
      </c>
      <c r="V53" s="48">
        <f>([6]Compras!C47)/1000</f>
        <v>0.92400000000000004</v>
      </c>
      <c r="W53" s="48">
        <f>([6]Compras!H47)/1000</f>
        <v>40.60592445733311</v>
      </c>
      <c r="X53" s="48">
        <f>([6]Compras!E47)/1000</f>
        <v>45.987381723826957</v>
      </c>
      <c r="Y53" s="48">
        <f>([6]Compras!K47)/1000</f>
        <v>0</v>
      </c>
      <c r="Z53" s="48">
        <f t="shared" si="13"/>
        <v>86.593306181160074</v>
      </c>
      <c r="AA53" s="48">
        <f t="shared" si="14"/>
        <v>93.71569933025981</v>
      </c>
      <c r="AD53" s="44">
        <f>+INDEX([2]Precios!$B$9:$H$28,MATCH($J53,[2]Precios!$B$9:$B$28,0),7)</f>
        <v>5282.6574000000001</v>
      </c>
      <c r="AE53" s="44">
        <f>+INDEX([2]Precios!$B$9:$H$28,MATCH($J53,[2]Precios!$B$9:$B$28,0),6)</f>
        <v>50.875999999999998</v>
      </c>
      <c r="AF53" s="68">
        <f t="shared" si="20"/>
        <v>8.0000000000000002E-3</v>
      </c>
      <c r="AG53" s="68">
        <f t="shared" si="21"/>
        <v>0.92400000000000004</v>
      </c>
      <c r="AH53" s="68">
        <f t="shared" si="22"/>
        <v>42.261259199999998</v>
      </c>
      <c r="AI53" s="68">
        <f t="shared" si="23"/>
        <v>47.009424000000003</v>
      </c>
      <c r="AJ53" s="68"/>
      <c r="AK53" s="69">
        <f t="shared" si="24"/>
        <v>89.270683200000008</v>
      </c>
      <c r="AL53" s="69">
        <f t="shared" si="25"/>
        <v>96.613293506493505</v>
      </c>
      <c r="AO53" s="44">
        <f t="shared" si="26"/>
        <v>-206.91684283336144</v>
      </c>
      <c r="AP53" s="44">
        <f t="shared" si="27"/>
        <v>-1.106106359494639</v>
      </c>
      <c r="AQ53" s="44">
        <f t="shared" si="28"/>
        <v>0</v>
      </c>
      <c r="AR53" s="44">
        <f t="shared" si="29"/>
        <v>0</v>
      </c>
      <c r="AS53" s="44">
        <f t="shared" si="30"/>
        <v>1.6553347426668878</v>
      </c>
      <c r="AT53" s="44">
        <f t="shared" si="31"/>
        <v>1.0220422761730461</v>
      </c>
      <c r="AU53" s="61">
        <f t="shared" si="32"/>
        <v>2.677377018839934</v>
      </c>
      <c r="AV53" s="44">
        <f t="shared" si="33"/>
        <v>-2.8975941762336959</v>
      </c>
      <c r="AY53" s="44"/>
      <c r="AZ53" s="44"/>
      <c r="BA53" s="44"/>
      <c r="BB53" s="44"/>
      <c r="BC53" s="44"/>
      <c r="BD53" s="44"/>
      <c r="BE53" s="44"/>
      <c r="BF53" s="44"/>
      <c r="BG53" s="44"/>
    </row>
    <row r="54" spans="2:59" hidden="1" x14ac:dyDescent="0.25">
      <c r="B54" s="43" t="s">
        <v>134</v>
      </c>
      <c r="C54" s="89" t="s">
        <v>23</v>
      </c>
      <c r="D54" s="47" t="s">
        <v>16</v>
      </c>
      <c r="E54" s="47">
        <v>220</v>
      </c>
      <c r="F54" s="47" t="s">
        <v>137</v>
      </c>
      <c r="G54" s="25" t="s">
        <v>155</v>
      </c>
      <c r="H54" s="26">
        <v>42736</v>
      </c>
      <c r="I54" s="26">
        <v>50040</v>
      </c>
      <c r="J54" s="16" t="str">
        <f t="shared" si="4"/>
        <v>Temuco 220</v>
      </c>
      <c r="K54" s="44">
        <f t="shared" si="5"/>
        <v>5185.1752835603183</v>
      </c>
      <c r="L54" s="44">
        <f t="shared" si="6"/>
        <v>51.183020325931636</v>
      </c>
      <c r="M54" s="56">
        <f t="shared" si="7"/>
        <v>7.5999999999999998E-2</v>
      </c>
      <c r="N54" s="56">
        <f t="shared" si="8"/>
        <v>8.8710000000000004</v>
      </c>
      <c r="O54" s="45">
        <f t="shared" si="9"/>
        <v>848.11789486192379</v>
      </c>
      <c r="P54" s="45">
        <f t="shared" si="10"/>
        <v>95.605669582000203</v>
      </c>
      <c r="S54" s="48">
        <f t="shared" si="11"/>
        <v>5185.1752835603183</v>
      </c>
      <c r="T54" s="48">
        <f t="shared" si="12"/>
        <v>51.183020325931636</v>
      </c>
      <c r="U54" s="48">
        <f>([6]Compras!F48)/1000</f>
        <v>7.5999999999999998E-2</v>
      </c>
      <c r="V54" s="48">
        <f>([6]Compras!C48)/1000</f>
        <v>8.8710000000000004</v>
      </c>
      <c r="W54" s="48">
        <f>([6]Compras!H48)/1000</f>
        <v>394.07332155058418</v>
      </c>
      <c r="X54" s="48">
        <f>([6]Compras!E48)/1000</f>
        <v>454.04457331133955</v>
      </c>
      <c r="Y54" s="48">
        <f>([6]Compras!K48)/1000</f>
        <v>0</v>
      </c>
      <c r="Z54" s="48">
        <f t="shared" si="13"/>
        <v>848.11789486192379</v>
      </c>
      <c r="AA54" s="48">
        <f t="shared" si="14"/>
        <v>95.605669582000203</v>
      </c>
      <c r="AD54" s="44">
        <f>+INDEX([2]Precios!$B$9:$H$28,MATCH($J54,[2]Precios!$B$9:$B$28,0),7)</f>
        <v>5410.5334999999995</v>
      </c>
      <c r="AE54" s="44">
        <f>+INDEX([2]Precios!$B$9:$H$28,MATCH($J54,[2]Precios!$B$9:$B$28,0),6)</f>
        <v>52.249000000000002</v>
      </c>
      <c r="AF54" s="68">
        <f t="shared" si="20"/>
        <v>7.5999999999999998E-2</v>
      </c>
      <c r="AG54" s="68">
        <f t="shared" si="21"/>
        <v>8.8710000000000004</v>
      </c>
      <c r="AH54" s="68">
        <f t="shared" si="22"/>
        <v>411.20054599999997</v>
      </c>
      <c r="AI54" s="68">
        <f t="shared" si="23"/>
        <v>463.50087900000005</v>
      </c>
      <c r="AJ54" s="68"/>
      <c r="AK54" s="69">
        <f t="shared" si="24"/>
        <v>874.70142499999997</v>
      </c>
      <c r="AL54" s="69">
        <f t="shared" si="25"/>
        <v>98.602347536918046</v>
      </c>
      <c r="AO54" s="44">
        <f t="shared" si="26"/>
        <v>-225.3582164396812</v>
      </c>
      <c r="AP54" s="44">
        <f t="shared" si="27"/>
        <v>-1.065979674068366</v>
      </c>
      <c r="AQ54" s="44">
        <f t="shared" si="28"/>
        <v>0</v>
      </c>
      <c r="AR54" s="44">
        <f t="shared" si="29"/>
        <v>0</v>
      </c>
      <c r="AS54" s="44">
        <f t="shared" si="30"/>
        <v>17.127224449415792</v>
      </c>
      <c r="AT54" s="44">
        <f t="shared" si="31"/>
        <v>9.4563056886605068</v>
      </c>
      <c r="AU54" s="61">
        <f t="shared" si="32"/>
        <v>26.583530138076185</v>
      </c>
      <c r="AV54" s="44">
        <f t="shared" si="33"/>
        <v>-2.9966779549178426</v>
      </c>
      <c r="AY54" s="44"/>
      <c r="AZ54" s="44"/>
      <c r="BA54" s="44"/>
      <c r="BB54" s="44"/>
      <c r="BC54" s="44"/>
      <c r="BD54" s="44"/>
      <c r="BE54" s="44"/>
      <c r="BF54" s="44"/>
      <c r="BG54" s="44"/>
    </row>
    <row r="55" spans="2:59" hidden="1" x14ac:dyDescent="0.25">
      <c r="B55" s="43" t="s">
        <v>134</v>
      </c>
      <c r="C55" s="89" t="s">
        <v>23</v>
      </c>
      <c r="D55" s="47" t="s">
        <v>150</v>
      </c>
      <c r="E55" s="47">
        <v>220</v>
      </c>
      <c r="F55" s="47" t="s">
        <v>137</v>
      </c>
      <c r="G55" s="25" t="s">
        <v>155</v>
      </c>
      <c r="H55" s="26">
        <v>42736</v>
      </c>
      <c r="I55" s="26">
        <v>50040</v>
      </c>
      <c r="J55" s="16" t="str">
        <f t="shared" si="4"/>
        <v>Los Ciruelos 220</v>
      </c>
      <c r="K55" s="44">
        <f t="shared" si="5"/>
        <v>5372.4553307907381</v>
      </c>
      <c r="L55" s="44">
        <f t="shared" si="6"/>
        <v>57.782964277183851</v>
      </c>
      <c r="M55" s="56">
        <f t="shared" si="7"/>
        <v>0.04</v>
      </c>
      <c r="N55" s="56">
        <f t="shared" si="8"/>
        <v>5.0209999999999999</v>
      </c>
      <c r="O55" s="45">
        <f t="shared" si="9"/>
        <v>505.02647686736964</v>
      </c>
      <c r="P55" s="45">
        <f t="shared" si="10"/>
        <v>100.58284741433373</v>
      </c>
      <c r="S55" s="48">
        <f t="shared" si="11"/>
        <v>5372.4553307907381</v>
      </c>
      <c r="T55" s="48">
        <f t="shared" si="12"/>
        <v>57.782964277183851</v>
      </c>
      <c r="U55" s="48">
        <f>([6]Compras!F49)/1000</f>
        <v>0.04</v>
      </c>
      <c r="V55" s="48">
        <f>([6]Compras!C49)/1000</f>
        <v>5.0209999999999999</v>
      </c>
      <c r="W55" s="48">
        <f>([6]Compras!H49)/1000</f>
        <v>214.89821323162951</v>
      </c>
      <c r="X55" s="48">
        <f>([6]Compras!E49)/1000</f>
        <v>290.1282636357401</v>
      </c>
      <c r="Y55" s="48">
        <f>([6]Compras!K49)/1000</f>
        <v>0</v>
      </c>
      <c r="Z55" s="48">
        <f t="shared" si="13"/>
        <v>505.02647686736964</v>
      </c>
      <c r="AA55" s="48">
        <f t="shared" si="14"/>
        <v>100.58284741433373</v>
      </c>
      <c r="AD55" s="44">
        <f>+INDEX([2]Precios!$B$9:$H$28,MATCH($J55,[2]Precios!$B$9:$B$28,0),7)</f>
        <v>5733.2651999999998</v>
      </c>
      <c r="AE55" s="44">
        <f>+INDEX([2]Precios!$B$9:$H$28,MATCH($J55,[2]Precios!$B$9:$B$28,0),6)</f>
        <v>58.844999999999999</v>
      </c>
      <c r="AF55" s="68">
        <f t="shared" si="20"/>
        <v>0.04</v>
      </c>
      <c r="AG55" s="68">
        <f t="shared" si="21"/>
        <v>5.0209999999999999</v>
      </c>
      <c r="AH55" s="68">
        <f t="shared" si="22"/>
        <v>229.33060799999998</v>
      </c>
      <c r="AI55" s="68">
        <f t="shared" si="23"/>
        <v>295.46074499999997</v>
      </c>
      <c r="AJ55" s="68"/>
      <c r="AK55" s="69">
        <f t="shared" si="24"/>
        <v>524.79135299999996</v>
      </c>
      <c r="AL55" s="69">
        <f t="shared" si="25"/>
        <v>104.51928958374825</v>
      </c>
      <c r="AO55" s="44">
        <f t="shared" si="26"/>
        <v>-360.80986920926171</v>
      </c>
      <c r="AP55" s="44">
        <f t="shared" si="27"/>
        <v>-1.0620357228161481</v>
      </c>
      <c r="AQ55" s="44">
        <f t="shared" si="28"/>
        <v>0</v>
      </c>
      <c r="AR55" s="44">
        <f t="shared" si="29"/>
        <v>0</v>
      </c>
      <c r="AS55" s="44">
        <f t="shared" si="30"/>
        <v>14.432394768370443</v>
      </c>
      <c r="AT55" s="44">
        <f t="shared" si="31"/>
        <v>5.332481364259877</v>
      </c>
      <c r="AU55" s="61">
        <f t="shared" si="32"/>
        <v>19.76487613263032</v>
      </c>
      <c r="AV55" s="44">
        <f t="shared" si="33"/>
        <v>-3.9364421694145193</v>
      </c>
      <c r="AY55" s="44"/>
      <c r="AZ55" s="44"/>
      <c r="BA55" s="44"/>
      <c r="BB55" s="44"/>
      <c r="BC55" s="44"/>
      <c r="BD55" s="44"/>
      <c r="BE55" s="44"/>
      <c r="BF55" s="44"/>
      <c r="BG55" s="44"/>
    </row>
    <row r="56" spans="2:59" hidden="1" x14ac:dyDescent="0.25">
      <c r="B56" s="43" t="s">
        <v>134</v>
      </c>
      <c r="C56" s="47" t="s">
        <v>18</v>
      </c>
      <c r="D56" s="47" t="s">
        <v>15</v>
      </c>
      <c r="E56" s="47">
        <v>220</v>
      </c>
      <c r="F56" s="47" t="s">
        <v>137</v>
      </c>
      <c r="G56" s="25" t="s">
        <v>153</v>
      </c>
      <c r="H56" s="26">
        <v>42736</v>
      </c>
      <c r="I56" s="26">
        <v>50040</v>
      </c>
      <c r="J56" s="16" t="str">
        <f t="shared" si="4"/>
        <v>Charrua 220</v>
      </c>
      <c r="K56" s="44">
        <f t="shared" si="5"/>
        <v>0</v>
      </c>
      <c r="L56" s="44">
        <f t="shared" si="6"/>
        <v>49.77</v>
      </c>
      <c r="M56" s="56">
        <f t="shared" si="7"/>
        <v>0</v>
      </c>
      <c r="N56" s="56">
        <f t="shared" si="8"/>
        <v>17.901399576185248</v>
      </c>
      <c r="O56" s="45">
        <f t="shared" si="9"/>
        <v>890.95265690673989</v>
      </c>
      <c r="P56" s="45">
        <f t="shared" si="10"/>
        <v>49.77</v>
      </c>
      <c r="S56" s="48">
        <f t="shared" si="11"/>
        <v>0</v>
      </c>
      <c r="T56" s="48">
        <f t="shared" si="12"/>
        <v>49.77</v>
      </c>
      <c r="U56" s="48">
        <v>0</v>
      </c>
      <c r="V56" s="48">
        <f>([7]PRORRATA_Precios!$C$30)/1000</f>
        <v>17.901399576185248</v>
      </c>
      <c r="W56" s="48">
        <v>0</v>
      </c>
      <c r="X56" s="48">
        <f>([7]PRORRATA_Precios!$Q$30)/1000</f>
        <v>890.95265690673989</v>
      </c>
      <c r="Y56" s="48">
        <v>0</v>
      </c>
      <c r="Z56" s="48">
        <f t="shared" si="13"/>
        <v>890.95265690673989</v>
      </c>
      <c r="AA56" s="48">
        <f t="shared" si="14"/>
        <v>49.77</v>
      </c>
      <c r="AD56" s="44">
        <f>+INDEX([2]Precios!$B$9:$H$28,MATCH($J56,[2]Precios!$B$9:$B$28,0),7)</f>
        <v>5282.6574000000001</v>
      </c>
      <c r="AE56" s="44">
        <f>+INDEX([2]Precios!$B$9:$H$28,MATCH($J56,[2]Precios!$B$9:$B$28,0),6)</f>
        <v>50.875999999999998</v>
      </c>
      <c r="AF56" s="68">
        <f t="shared" si="20"/>
        <v>0</v>
      </c>
      <c r="AG56" s="68">
        <f t="shared" si="21"/>
        <v>17.901399576185248</v>
      </c>
      <c r="AH56" s="68">
        <f t="shared" si="22"/>
        <v>0</v>
      </c>
      <c r="AI56" s="68">
        <f t="shared" si="23"/>
        <v>910.75160483800062</v>
      </c>
      <c r="AJ56" s="68"/>
      <c r="AK56" s="69">
        <f t="shared" si="24"/>
        <v>910.75160483800062</v>
      </c>
      <c r="AL56" s="69">
        <f t="shared" si="25"/>
        <v>50.875999999999998</v>
      </c>
      <c r="AO56" s="44">
        <f t="shared" si="26"/>
        <v>-5282.6574000000001</v>
      </c>
      <c r="AP56" s="44">
        <f t="shared" si="27"/>
        <v>-1.1059999999999945</v>
      </c>
      <c r="AQ56" s="44">
        <f t="shared" si="28"/>
        <v>0</v>
      </c>
      <c r="AR56" s="44">
        <f t="shared" si="29"/>
        <v>0</v>
      </c>
      <c r="AS56" s="44">
        <f t="shared" si="30"/>
        <v>0</v>
      </c>
      <c r="AT56" s="44">
        <f t="shared" si="31"/>
        <v>19.798947931260727</v>
      </c>
      <c r="AU56" s="61">
        <f t="shared" si="32"/>
        <v>19.798947931260727</v>
      </c>
      <c r="AV56" s="44">
        <f t="shared" si="33"/>
        <v>-1.1059999999999945</v>
      </c>
      <c r="AY56" s="44"/>
      <c r="AZ56" s="44"/>
      <c r="BA56" s="44"/>
      <c r="BB56" s="44"/>
      <c r="BC56" s="44"/>
      <c r="BD56" s="44"/>
      <c r="BE56" s="44"/>
      <c r="BF56" s="44"/>
      <c r="BG56" s="44"/>
    </row>
    <row r="57" spans="2:59" hidden="1" x14ac:dyDescent="0.25">
      <c r="B57" s="43" t="s">
        <v>134</v>
      </c>
      <c r="C57" s="47" t="s">
        <v>18</v>
      </c>
      <c r="D57" s="47" t="s">
        <v>16</v>
      </c>
      <c r="E57" s="47">
        <v>220</v>
      </c>
      <c r="F57" s="47" t="s">
        <v>137</v>
      </c>
      <c r="G57" s="25" t="s">
        <v>153</v>
      </c>
      <c r="H57" s="26">
        <v>42736</v>
      </c>
      <c r="I57" s="26">
        <v>50040</v>
      </c>
      <c r="J57" s="16" t="str">
        <f t="shared" si="4"/>
        <v>Temuco 220</v>
      </c>
      <c r="K57" s="44">
        <f t="shared" si="5"/>
        <v>0</v>
      </c>
      <c r="L57" s="44">
        <f t="shared" si="6"/>
        <v>51.183</v>
      </c>
      <c r="M57" s="56">
        <f t="shared" si="7"/>
        <v>0</v>
      </c>
      <c r="N57" s="56">
        <f t="shared" si="8"/>
        <v>143.73353283933682</v>
      </c>
      <c r="O57" s="45">
        <f t="shared" si="9"/>
        <v>7356.7134113157763</v>
      </c>
      <c r="P57" s="45">
        <f t="shared" si="10"/>
        <v>51.183</v>
      </c>
      <c r="S57" s="48">
        <f t="shared" si="11"/>
        <v>0</v>
      </c>
      <c r="T57" s="48">
        <f t="shared" si="12"/>
        <v>51.183</v>
      </c>
      <c r="U57" s="48">
        <v>0</v>
      </c>
      <c r="V57" s="48">
        <f>([7]PRORRATA_Precios!$D$30)/1000</f>
        <v>143.73353283933682</v>
      </c>
      <c r="W57" s="48">
        <v>0</v>
      </c>
      <c r="X57" s="48">
        <f>([7]PRORRATA_Precios!$R$30)/1000</f>
        <v>7356.7134113157763</v>
      </c>
      <c r="Y57" s="48">
        <f>([7]PRORRATA_Precios!$P$30)/1000</f>
        <v>2.3112735238589908</v>
      </c>
      <c r="Z57" s="48">
        <f t="shared" si="13"/>
        <v>7356.7134113157763</v>
      </c>
      <c r="AA57" s="48">
        <f t="shared" si="14"/>
        <v>51.183</v>
      </c>
      <c r="AD57" s="44">
        <f>+INDEX([2]Precios!$B$9:$H$28,MATCH($J57,[2]Precios!$B$9:$B$28,0),7)</f>
        <v>5410.5334999999995</v>
      </c>
      <c r="AE57" s="44">
        <f>+INDEX([2]Precios!$B$9:$H$28,MATCH($J57,[2]Precios!$B$9:$B$28,0),6)</f>
        <v>52.249000000000002</v>
      </c>
      <c r="AF57" s="68">
        <f t="shared" si="20"/>
        <v>0</v>
      </c>
      <c r="AG57" s="68">
        <f t="shared" si="21"/>
        <v>143.73353283933682</v>
      </c>
      <c r="AH57" s="68">
        <f t="shared" si="22"/>
        <v>0</v>
      </c>
      <c r="AI57" s="68">
        <f t="shared" si="23"/>
        <v>7509.9333573225094</v>
      </c>
      <c r="AJ57" s="68"/>
      <c r="AK57" s="69">
        <f t="shared" si="24"/>
        <v>7509.9333573225094</v>
      </c>
      <c r="AL57" s="69">
        <f t="shared" si="25"/>
        <v>52.249000000000002</v>
      </c>
      <c r="AO57" s="44">
        <f t="shared" si="26"/>
        <v>-5410.5334999999995</v>
      </c>
      <c r="AP57" s="44">
        <f t="shared" si="27"/>
        <v>-1.0660000000000025</v>
      </c>
      <c r="AQ57" s="44">
        <f t="shared" si="28"/>
        <v>0</v>
      </c>
      <c r="AR57" s="44">
        <f t="shared" si="29"/>
        <v>0</v>
      </c>
      <c r="AS57" s="44">
        <f t="shared" si="30"/>
        <v>0</v>
      </c>
      <c r="AT57" s="44">
        <f t="shared" si="31"/>
        <v>153.21994600673315</v>
      </c>
      <c r="AU57" s="61">
        <f t="shared" si="32"/>
        <v>153.21994600673315</v>
      </c>
      <c r="AV57" s="44">
        <f t="shared" si="33"/>
        <v>-1.0660000000000025</v>
      </c>
      <c r="AY57" s="44"/>
      <c r="AZ57" s="44"/>
      <c r="BA57" s="44"/>
      <c r="BB57" s="44"/>
      <c r="BC57" s="44"/>
      <c r="BD57" s="44"/>
      <c r="BE57" s="44"/>
      <c r="BF57" s="44"/>
      <c r="BG57" s="44"/>
    </row>
    <row r="58" spans="2:59" hidden="1" x14ac:dyDescent="0.25">
      <c r="B58" s="43" t="s">
        <v>134</v>
      </c>
      <c r="C58" s="47" t="s">
        <v>18</v>
      </c>
      <c r="D58" s="47" t="s">
        <v>15</v>
      </c>
      <c r="E58" s="47">
        <v>220</v>
      </c>
      <c r="F58" s="47" t="s">
        <v>137</v>
      </c>
      <c r="G58" s="25" t="s">
        <v>154</v>
      </c>
      <c r="H58" s="26">
        <v>42736</v>
      </c>
      <c r="I58" s="26">
        <v>50040</v>
      </c>
      <c r="J58" s="16" t="str">
        <f t="shared" si="4"/>
        <v>Charrua 220</v>
      </c>
      <c r="K58" s="44">
        <f t="shared" si="5"/>
        <v>0</v>
      </c>
      <c r="L58" s="44">
        <f t="shared" si="6"/>
        <v>49.77000000000001</v>
      </c>
      <c r="M58" s="56">
        <f t="shared" si="7"/>
        <v>0</v>
      </c>
      <c r="N58" s="56">
        <f t="shared" si="8"/>
        <v>20.613634414467001</v>
      </c>
      <c r="O58" s="45">
        <f t="shared" si="9"/>
        <v>1025.9405848080228</v>
      </c>
      <c r="P58" s="45">
        <f t="shared" si="10"/>
        <v>49.77000000000001</v>
      </c>
      <c r="S58" s="48">
        <f t="shared" si="11"/>
        <v>0</v>
      </c>
      <c r="T58" s="48">
        <f t="shared" si="12"/>
        <v>49.77000000000001</v>
      </c>
      <c r="U58" s="48">
        <v>0</v>
      </c>
      <c r="V58" s="48">
        <f>([7]PRORRATA_Precios!$C$34)/1000</f>
        <v>20.613634414467001</v>
      </c>
      <c r="W58" s="48">
        <v>0</v>
      </c>
      <c r="X58" s="48">
        <f>([7]PRORRATA_Precios!$Q$34)/1000</f>
        <v>1025.9405848080228</v>
      </c>
      <c r="Y58" s="48">
        <v>0</v>
      </c>
      <c r="Z58" s="48">
        <f t="shared" si="13"/>
        <v>1025.9405848080228</v>
      </c>
      <c r="AA58" s="48">
        <f t="shared" si="14"/>
        <v>49.77000000000001</v>
      </c>
      <c r="AD58" s="44">
        <f>+INDEX([2]Precios!$B$9:$H$28,MATCH($J58,[2]Precios!$B$9:$B$28,0),7)</f>
        <v>5282.6574000000001</v>
      </c>
      <c r="AE58" s="44">
        <f>+INDEX([2]Precios!$B$9:$H$28,MATCH($J58,[2]Precios!$B$9:$B$28,0),6)</f>
        <v>50.875999999999998</v>
      </c>
      <c r="AF58" s="68">
        <f t="shared" si="20"/>
        <v>0</v>
      </c>
      <c r="AG58" s="68">
        <f t="shared" si="21"/>
        <v>20.613634414467001</v>
      </c>
      <c r="AH58" s="68">
        <f t="shared" si="22"/>
        <v>0</v>
      </c>
      <c r="AI58" s="68">
        <f t="shared" si="23"/>
        <v>1048.739264470423</v>
      </c>
      <c r="AJ58" s="68"/>
      <c r="AK58" s="69">
        <f t="shared" si="24"/>
        <v>1048.739264470423</v>
      </c>
      <c r="AL58" s="69">
        <f t="shared" si="25"/>
        <v>50.875999999999991</v>
      </c>
      <c r="AO58" s="44">
        <f t="shared" si="26"/>
        <v>-5282.6574000000001</v>
      </c>
      <c r="AP58" s="44">
        <f t="shared" si="27"/>
        <v>-1.1059999999999874</v>
      </c>
      <c r="AQ58" s="44">
        <f t="shared" si="28"/>
        <v>0</v>
      </c>
      <c r="AR58" s="44">
        <f t="shared" si="29"/>
        <v>0</v>
      </c>
      <c r="AS58" s="44">
        <f t="shared" si="30"/>
        <v>0</v>
      </c>
      <c r="AT58" s="44">
        <f t="shared" si="31"/>
        <v>22.798679662400218</v>
      </c>
      <c r="AU58" s="61">
        <f t="shared" si="32"/>
        <v>22.798679662400218</v>
      </c>
      <c r="AV58" s="44">
        <f t="shared" si="33"/>
        <v>-1.1059999999999803</v>
      </c>
      <c r="AY58" s="44"/>
      <c r="AZ58" s="44"/>
      <c r="BA58" s="44"/>
      <c r="BB58" s="44"/>
      <c r="BC58" s="44"/>
      <c r="BD58" s="44"/>
      <c r="BE58" s="44"/>
      <c r="BF58" s="44"/>
      <c r="BG58" s="44"/>
    </row>
    <row r="59" spans="2:59" hidden="1" x14ac:dyDescent="0.25">
      <c r="B59" s="43" t="s">
        <v>134</v>
      </c>
      <c r="C59" s="47" t="s">
        <v>18</v>
      </c>
      <c r="D59" s="47" t="s">
        <v>16</v>
      </c>
      <c r="E59" s="47">
        <v>220</v>
      </c>
      <c r="F59" s="47" t="s">
        <v>137</v>
      </c>
      <c r="G59" s="25" t="s">
        <v>154</v>
      </c>
      <c r="H59" s="26">
        <v>42736</v>
      </c>
      <c r="I59" s="26">
        <v>50040</v>
      </c>
      <c r="J59" s="16" t="str">
        <f t="shared" si="4"/>
        <v>Temuco 220</v>
      </c>
      <c r="K59" s="44">
        <f t="shared" si="5"/>
        <v>0</v>
      </c>
      <c r="L59" s="44">
        <f t="shared" si="6"/>
        <v>51.183</v>
      </c>
      <c r="M59" s="56">
        <f t="shared" si="7"/>
        <v>0</v>
      </c>
      <c r="N59" s="56">
        <f t="shared" si="8"/>
        <v>167.8728190474996</v>
      </c>
      <c r="O59" s="45">
        <f t="shared" si="9"/>
        <v>8592.2344973081726</v>
      </c>
      <c r="P59" s="45">
        <f t="shared" si="10"/>
        <v>51.183</v>
      </c>
      <c r="S59" s="48">
        <f t="shared" si="11"/>
        <v>0</v>
      </c>
      <c r="T59" s="48">
        <f t="shared" si="12"/>
        <v>51.183</v>
      </c>
      <c r="U59" s="48">
        <v>0</v>
      </c>
      <c r="V59" s="48">
        <f>([7]PRORRATA_Precios!$D$34)/1000</f>
        <v>167.8728190474996</v>
      </c>
      <c r="W59" s="48">
        <v>0</v>
      </c>
      <c r="X59" s="48">
        <f>([7]PRORRATA_Precios!$R$34)/1000</f>
        <v>8592.2344973081726</v>
      </c>
      <c r="Y59" s="48">
        <f>([7]PRORRATA_Precios!$P$34)/1000</f>
        <v>18.582813412871911</v>
      </c>
      <c r="Z59" s="48">
        <f t="shared" si="13"/>
        <v>8592.2344973081726</v>
      </c>
      <c r="AA59" s="48">
        <f t="shared" si="14"/>
        <v>51.183</v>
      </c>
      <c r="AD59" s="44">
        <f>+INDEX([2]Precios!$B$9:$H$28,MATCH($J59,[2]Precios!$B$9:$B$28,0),7)</f>
        <v>5410.5334999999995</v>
      </c>
      <c r="AE59" s="44">
        <f>+INDEX([2]Precios!$B$9:$H$28,MATCH($J59,[2]Precios!$B$9:$B$28,0),6)</f>
        <v>52.249000000000002</v>
      </c>
      <c r="AF59" s="68">
        <f t="shared" si="20"/>
        <v>0</v>
      </c>
      <c r="AG59" s="68">
        <f t="shared" si="21"/>
        <v>167.8728190474996</v>
      </c>
      <c r="AH59" s="68">
        <f t="shared" si="22"/>
        <v>0</v>
      </c>
      <c r="AI59" s="68">
        <f t="shared" si="23"/>
        <v>8771.1869224128077</v>
      </c>
      <c r="AJ59" s="68"/>
      <c r="AK59" s="69">
        <f t="shared" si="24"/>
        <v>8771.1869224128077</v>
      </c>
      <c r="AL59" s="69">
        <f t="shared" si="25"/>
        <v>52.249000000000002</v>
      </c>
      <c r="AO59" s="44">
        <f t="shared" si="26"/>
        <v>-5410.5334999999995</v>
      </c>
      <c r="AP59" s="44">
        <f t="shared" si="27"/>
        <v>-1.0660000000000025</v>
      </c>
      <c r="AQ59" s="44">
        <f t="shared" si="28"/>
        <v>0</v>
      </c>
      <c r="AR59" s="44">
        <f t="shared" si="29"/>
        <v>0</v>
      </c>
      <c r="AS59" s="44">
        <f t="shared" si="30"/>
        <v>0</v>
      </c>
      <c r="AT59" s="44">
        <f t="shared" si="31"/>
        <v>178.95242510463504</v>
      </c>
      <c r="AU59" s="61">
        <f t="shared" si="32"/>
        <v>178.95242510463504</v>
      </c>
      <c r="AV59" s="44">
        <f t="shared" si="33"/>
        <v>-1.0660000000000025</v>
      </c>
      <c r="AY59" s="44"/>
      <c r="AZ59" s="44"/>
      <c r="BA59" s="44"/>
      <c r="BB59" s="44"/>
      <c r="BC59" s="44"/>
      <c r="BD59" s="44"/>
      <c r="BE59" s="44"/>
      <c r="BF59" s="44"/>
      <c r="BG59" s="44"/>
    </row>
    <row r="60" spans="2:59" hidden="1" x14ac:dyDescent="0.25">
      <c r="B60" s="43" t="s">
        <v>134</v>
      </c>
      <c r="C60" s="47" t="s">
        <v>18</v>
      </c>
      <c r="D60" s="47" t="s">
        <v>15</v>
      </c>
      <c r="E60" s="47">
        <v>220</v>
      </c>
      <c r="F60" s="47" t="s">
        <v>137</v>
      </c>
      <c r="G60" s="25" t="s">
        <v>155</v>
      </c>
      <c r="H60" s="26">
        <v>42736</v>
      </c>
      <c r="I60" s="26">
        <v>50040</v>
      </c>
      <c r="J60" s="16" t="str">
        <f t="shared" si="4"/>
        <v>Charrua 220</v>
      </c>
      <c r="K60" s="44">
        <f t="shared" si="5"/>
        <v>5075.7340000000013</v>
      </c>
      <c r="L60" s="44">
        <f t="shared" si="6"/>
        <v>49.77</v>
      </c>
      <c r="M60" s="56">
        <f t="shared" si="7"/>
        <v>1.1047556202151428E-2</v>
      </c>
      <c r="N60" s="56">
        <f t="shared" si="8"/>
        <v>8.3726534190295059</v>
      </c>
      <c r="O60" s="45">
        <f t="shared" si="9"/>
        <v>472.7814172972694</v>
      </c>
      <c r="P60" s="45">
        <f t="shared" si="10"/>
        <v>56.46733402611936</v>
      </c>
      <c r="S60" s="48">
        <f t="shared" si="11"/>
        <v>5075.7340000000013</v>
      </c>
      <c r="T60" s="48">
        <f t="shared" si="12"/>
        <v>49.77</v>
      </c>
      <c r="U60" s="48">
        <f>[7]PRORRATA_Precios!G36/1000</f>
        <v>1.1047556202151428E-2</v>
      </c>
      <c r="V60" s="48">
        <f>([7]PRORRATA_Precios!$C$36)/1000</f>
        <v>8.3726534190295059</v>
      </c>
      <c r="W60" s="48">
        <f>([7]PRORRATA_Precios!$S$36)/1000</f>
        <v>56.074456632170886</v>
      </c>
      <c r="X60" s="48">
        <f>([7]PRORRATA_Precios!$Q$36)/1000</f>
        <v>416.70696066509856</v>
      </c>
      <c r="Y60" s="48">
        <v>0</v>
      </c>
      <c r="Z60" s="48">
        <f t="shared" si="13"/>
        <v>472.7814172972694</v>
      </c>
      <c r="AA60" s="48">
        <f t="shared" si="14"/>
        <v>56.46733402611936</v>
      </c>
      <c r="AD60" s="44">
        <f>+INDEX([2]Precios!$B$9:$H$28,MATCH($J60,[2]Precios!$B$9:$B$28,0),7)</f>
        <v>5282.6574000000001</v>
      </c>
      <c r="AE60" s="44">
        <f>+INDEX([2]Precios!$B$9:$H$28,MATCH($J60,[2]Precios!$B$9:$B$28,0),6)</f>
        <v>50.875999999999998</v>
      </c>
      <c r="AF60" s="68">
        <f t="shared" si="20"/>
        <v>1.1047556202151428E-2</v>
      </c>
      <c r="AG60" s="68">
        <f t="shared" si="21"/>
        <v>8.3726534190295059</v>
      </c>
      <c r="AH60" s="68">
        <f t="shared" si="22"/>
        <v>58.360454523211132</v>
      </c>
      <c r="AI60" s="68">
        <f t="shared" si="23"/>
        <v>425.96711534654514</v>
      </c>
      <c r="AJ60" s="68"/>
      <c r="AK60" s="69">
        <f t="shared" si="24"/>
        <v>484.3275698697563</v>
      </c>
      <c r="AL60" s="69">
        <f t="shared" si="25"/>
        <v>57.846365498537004</v>
      </c>
      <c r="AO60" s="44">
        <f t="shared" si="26"/>
        <v>-206.92339999999876</v>
      </c>
      <c r="AP60" s="44">
        <f t="shared" si="27"/>
        <v>-1.1059999999999945</v>
      </c>
      <c r="AQ60" s="44">
        <f t="shared" si="28"/>
        <v>0</v>
      </c>
      <c r="AR60" s="44">
        <f t="shared" si="29"/>
        <v>0</v>
      </c>
      <c r="AS60" s="44">
        <f t="shared" si="30"/>
        <v>2.2859978910402461</v>
      </c>
      <c r="AT60" s="44">
        <f t="shared" si="31"/>
        <v>9.260154681446636</v>
      </c>
      <c r="AU60" s="61">
        <f t="shared" si="32"/>
        <v>11.546152572486903</v>
      </c>
      <c r="AV60" s="44">
        <f t="shared" si="33"/>
        <v>-1.379031472417644</v>
      </c>
      <c r="AY60" s="44"/>
      <c r="AZ60" s="44"/>
      <c r="BA60" s="44"/>
      <c r="BB60" s="44"/>
      <c r="BC60" s="44"/>
      <c r="BD60" s="44"/>
      <c r="BE60" s="44"/>
      <c r="BF60" s="44"/>
      <c r="BG60" s="44"/>
    </row>
    <row r="61" spans="2:59" hidden="1" x14ac:dyDescent="0.25">
      <c r="B61" s="43" t="s">
        <v>134</v>
      </c>
      <c r="C61" s="47" t="s">
        <v>18</v>
      </c>
      <c r="D61" s="47" t="s">
        <v>16</v>
      </c>
      <c r="E61" s="47">
        <v>220</v>
      </c>
      <c r="F61" s="47" t="s">
        <v>137</v>
      </c>
      <c r="G61" s="25" t="s">
        <v>155</v>
      </c>
      <c r="H61" s="26">
        <v>42736</v>
      </c>
      <c r="I61" s="26">
        <v>50040</v>
      </c>
      <c r="J61" s="16" t="str">
        <f t="shared" si="4"/>
        <v>Temuco 220</v>
      </c>
      <c r="K61" s="44">
        <f t="shared" si="5"/>
        <v>5185.1488099999997</v>
      </c>
      <c r="L61" s="44">
        <f t="shared" si="6"/>
        <v>51.183000000000007</v>
      </c>
      <c r="M61" s="56">
        <f t="shared" si="7"/>
        <v>8.9573290165770134E-2</v>
      </c>
      <c r="N61" s="56">
        <f t="shared" si="8"/>
        <v>67.877730420798713</v>
      </c>
      <c r="O61" s="45">
        <f t="shared" si="9"/>
        <v>3938.6367150385686</v>
      </c>
      <c r="P61" s="45">
        <f t="shared" si="10"/>
        <v>58.0254627050953</v>
      </c>
      <c r="S61" s="48">
        <f t="shared" si="11"/>
        <v>5185.1488099999997</v>
      </c>
      <c r="T61" s="48">
        <f t="shared" si="12"/>
        <v>51.183000000000007</v>
      </c>
      <c r="U61" s="48">
        <f>[7]PRORRATA_Precios!H36/1000</f>
        <v>8.9573290165770134E-2</v>
      </c>
      <c r="V61" s="48">
        <f>([7]PRORRATA_Precios!$D$36)/1000</f>
        <v>67.877730420798713</v>
      </c>
      <c r="W61" s="48">
        <f>([7]PRORRATA_Precios!$T$36)/1000</f>
        <v>464.45083891082766</v>
      </c>
      <c r="X61" s="48">
        <f>([7]PRORRATA_Precios!$R$36)/1000</f>
        <v>3474.1858761277408</v>
      </c>
      <c r="Y61" s="48">
        <f>([7]PRORRATA_Precios!$P$36)/1000</f>
        <v>12.934109817535045</v>
      </c>
      <c r="Z61" s="48">
        <f t="shared" si="13"/>
        <v>3938.6367150385686</v>
      </c>
      <c r="AA61" s="48">
        <f t="shared" si="14"/>
        <v>58.0254627050953</v>
      </c>
      <c r="AD61" s="44">
        <f>+INDEX([2]Precios!$B$9:$H$28,MATCH($J61,[2]Precios!$B$9:$B$28,0),7)</f>
        <v>5410.5334999999995</v>
      </c>
      <c r="AE61" s="44">
        <f>+INDEX([2]Precios!$B$9:$H$28,MATCH($J61,[2]Precios!$B$9:$B$28,0),6)</f>
        <v>52.249000000000002</v>
      </c>
      <c r="AF61" s="68">
        <f t="shared" si="20"/>
        <v>8.9573290165770134E-2</v>
      </c>
      <c r="AG61" s="68">
        <f t="shared" si="21"/>
        <v>67.877730420798713</v>
      </c>
      <c r="AH61" s="68">
        <f t="shared" si="22"/>
        <v>484.63928714711983</v>
      </c>
      <c r="AI61" s="68">
        <f t="shared" si="23"/>
        <v>3546.5435367563123</v>
      </c>
      <c r="AJ61" s="68"/>
      <c r="AK61" s="69">
        <f t="shared" si="24"/>
        <v>4031.1828239034321</v>
      </c>
      <c r="AL61" s="69">
        <f t="shared" si="25"/>
        <v>59.388886442028408</v>
      </c>
      <c r="AO61" s="44">
        <f t="shared" si="26"/>
        <v>-225.38468999999986</v>
      </c>
      <c r="AP61" s="44">
        <f t="shared" si="27"/>
        <v>-1.0659999999999954</v>
      </c>
      <c r="AQ61" s="44">
        <f t="shared" si="28"/>
        <v>0</v>
      </c>
      <c r="AR61" s="44">
        <f t="shared" si="29"/>
        <v>0</v>
      </c>
      <c r="AS61" s="44">
        <f t="shared" si="30"/>
        <v>20.188448236292174</v>
      </c>
      <c r="AT61" s="44">
        <f t="shared" si="31"/>
        <v>72.357660628571466</v>
      </c>
      <c r="AU61" s="61">
        <f t="shared" si="32"/>
        <v>92.546108864863527</v>
      </c>
      <c r="AV61" s="44">
        <f t="shared" si="33"/>
        <v>-1.3634237369331075</v>
      </c>
      <c r="AY61" s="44"/>
      <c r="AZ61" s="44"/>
      <c r="BA61" s="44"/>
      <c r="BB61" s="44"/>
      <c r="BC61" s="44"/>
      <c r="BD61" s="44"/>
      <c r="BE61" s="44"/>
      <c r="BF61" s="44"/>
      <c r="BG61" s="44"/>
    </row>
    <row r="62" spans="2:59" hidden="1" x14ac:dyDescent="0.25">
      <c r="B62" s="43" t="s">
        <v>134</v>
      </c>
      <c r="C62" s="89" t="s">
        <v>22</v>
      </c>
      <c r="D62" s="47" t="s">
        <v>15</v>
      </c>
      <c r="E62" s="47">
        <v>220</v>
      </c>
      <c r="F62" s="47" t="s">
        <v>137</v>
      </c>
      <c r="G62" s="25" t="s">
        <v>153</v>
      </c>
      <c r="H62" s="26">
        <v>42736</v>
      </c>
      <c r="I62" s="26">
        <v>50040</v>
      </c>
      <c r="J62" s="16" t="str">
        <f t="shared" si="4"/>
        <v>Charrua 220</v>
      </c>
      <c r="K62" s="44">
        <f t="shared" si="5"/>
        <v>0</v>
      </c>
      <c r="L62" s="44">
        <f t="shared" si="6"/>
        <v>49.769893640505352</v>
      </c>
      <c r="M62" s="56">
        <f t="shared" si="7"/>
        <v>0</v>
      </c>
      <c r="N62" s="56">
        <f t="shared" si="8"/>
        <v>377.90126945450362</v>
      </c>
      <c r="O62" s="45">
        <f t="shared" si="9"/>
        <v>18808.1059873626</v>
      </c>
      <c r="P62" s="45">
        <f t="shared" si="10"/>
        <v>49.769893640505352</v>
      </c>
      <c r="S62" s="48">
        <f t="shared" si="11"/>
        <v>0</v>
      </c>
      <c r="T62" s="48">
        <f t="shared" si="12"/>
        <v>49.769893640505352</v>
      </c>
      <c r="U62" s="48">
        <f>([8]Compras!F21)/1000</f>
        <v>0</v>
      </c>
      <c r="V62" s="48">
        <f>([8]Compras!C21)/1000</f>
        <v>377.90126945450362</v>
      </c>
      <c r="W62" s="48">
        <f>([8]Compras!H21)/1000</f>
        <v>0</v>
      </c>
      <c r="X62" s="48">
        <f>([8]Compras!E21)/1000</f>
        <v>18808.1059873626</v>
      </c>
      <c r="Y62" s="48">
        <f>([8]Compras!K21)/1000</f>
        <v>6.790618616222809</v>
      </c>
      <c r="Z62" s="48">
        <f t="shared" si="13"/>
        <v>18808.1059873626</v>
      </c>
      <c r="AA62" s="48">
        <f t="shared" si="14"/>
        <v>49.769893640505352</v>
      </c>
      <c r="AD62" s="44">
        <f>+INDEX([2]Precios!$B$9:$H$28,MATCH($J62,[2]Precios!$B$9:$B$28,0),7)</f>
        <v>5282.6574000000001</v>
      </c>
      <c r="AE62" s="44">
        <f>+INDEX([2]Precios!$B$9:$H$28,MATCH($J62,[2]Precios!$B$9:$B$28,0),6)</f>
        <v>50.875999999999998</v>
      </c>
      <c r="AF62" s="68">
        <f t="shared" si="20"/>
        <v>0</v>
      </c>
      <c r="AG62" s="68">
        <f t="shared" si="21"/>
        <v>377.90126945450362</v>
      </c>
      <c r="AH62" s="68">
        <f t="shared" si="22"/>
        <v>0</v>
      </c>
      <c r="AI62" s="68">
        <f t="shared" si="23"/>
        <v>19226.104984767324</v>
      </c>
      <c r="AJ62" s="68"/>
      <c r="AK62" s="69">
        <f t="shared" si="24"/>
        <v>19226.104984767324</v>
      </c>
      <c r="AL62" s="69">
        <f t="shared" si="25"/>
        <v>50.875999999999991</v>
      </c>
      <c r="AO62" s="44">
        <f t="shared" si="26"/>
        <v>-5282.6574000000001</v>
      </c>
      <c r="AP62" s="44">
        <f t="shared" si="27"/>
        <v>-1.1061063594946461</v>
      </c>
      <c r="AQ62" s="44">
        <f t="shared" si="28"/>
        <v>0</v>
      </c>
      <c r="AR62" s="44">
        <f t="shared" si="29"/>
        <v>0</v>
      </c>
      <c r="AS62" s="44">
        <f t="shared" si="30"/>
        <v>0</v>
      </c>
      <c r="AT62" s="44">
        <f t="shared" si="31"/>
        <v>417.99899740472392</v>
      </c>
      <c r="AU62" s="61">
        <f t="shared" si="32"/>
        <v>417.99899740472392</v>
      </c>
      <c r="AV62" s="44">
        <f t="shared" si="33"/>
        <v>-1.106106359494639</v>
      </c>
      <c r="AY62" s="44"/>
      <c r="AZ62" s="44"/>
      <c r="BA62" s="44"/>
      <c r="BB62" s="44"/>
      <c r="BC62" s="44"/>
      <c r="BD62" s="44"/>
      <c r="BE62" s="44"/>
      <c r="BF62" s="44"/>
      <c r="BG62" s="44"/>
    </row>
    <row r="63" spans="2:59" hidden="1" x14ac:dyDescent="0.25">
      <c r="B63" s="43" t="s">
        <v>134</v>
      </c>
      <c r="C63" s="89" t="s">
        <v>22</v>
      </c>
      <c r="D63" s="47" t="s">
        <v>16</v>
      </c>
      <c r="E63" s="47">
        <v>220</v>
      </c>
      <c r="F63" s="47" t="s">
        <v>137</v>
      </c>
      <c r="G63" s="25" t="s">
        <v>153</v>
      </c>
      <c r="H63" s="26">
        <v>42736</v>
      </c>
      <c r="I63" s="26">
        <v>50040</v>
      </c>
      <c r="J63" s="16" t="str">
        <f t="shared" si="4"/>
        <v>Temuco 220</v>
      </c>
      <c r="K63" s="44">
        <f t="shared" si="5"/>
        <v>0</v>
      </c>
      <c r="L63" s="44">
        <f t="shared" si="6"/>
        <v>51.183020325931636</v>
      </c>
      <c r="M63" s="56">
        <f t="shared" si="7"/>
        <v>0</v>
      </c>
      <c r="N63" s="56">
        <f t="shared" si="8"/>
        <v>288.97563912455985</v>
      </c>
      <c r="O63" s="45">
        <f t="shared" si="9"/>
        <v>14790.646011011431</v>
      </c>
      <c r="P63" s="45">
        <f t="shared" si="10"/>
        <v>51.183020325931636</v>
      </c>
      <c r="S63" s="48">
        <f t="shared" si="11"/>
        <v>0</v>
      </c>
      <c r="T63" s="48">
        <f t="shared" si="12"/>
        <v>51.183020325931636</v>
      </c>
      <c r="U63" s="48">
        <f>([8]Compras!F22)/1000</f>
        <v>0</v>
      </c>
      <c r="V63" s="48">
        <f>([8]Compras!C22)/1000</f>
        <v>288.97563912455985</v>
      </c>
      <c r="W63" s="48">
        <f>([8]Compras!H22)/1000</f>
        <v>0</v>
      </c>
      <c r="X63" s="48">
        <f>([8]Compras!E22)/1000</f>
        <v>14790.646011011431</v>
      </c>
      <c r="Y63" s="48">
        <f>([8]Compras!K22)/1000</f>
        <v>15.697082342876008</v>
      </c>
      <c r="Z63" s="48">
        <f t="shared" si="13"/>
        <v>14790.646011011431</v>
      </c>
      <c r="AA63" s="48">
        <f t="shared" si="14"/>
        <v>51.183020325931636</v>
      </c>
      <c r="AD63" s="44">
        <f>+INDEX([2]Precios!$B$9:$H$28,MATCH($J63,[2]Precios!$B$9:$B$28,0),7)</f>
        <v>5410.5334999999995</v>
      </c>
      <c r="AE63" s="44">
        <f>+INDEX([2]Precios!$B$9:$H$28,MATCH($J63,[2]Precios!$B$9:$B$28,0),6)</f>
        <v>52.249000000000002</v>
      </c>
      <c r="AF63" s="68">
        <f t="shared" si="20"/>
        <v>0</v>
      </c>
      <c r="AG63" s="68">
        <f t="shared" si="21"/>
        <v>288.97563912455985</v>
      </c>
      <c r="AH63" s="68">
        <f t="shared" si="22"/>
        <v>0</v>
      </c>
      <c r="AI63" s="68">
        <f t="shared" si="23"/>
        <v>15098.688168619128</v>
      </c>
      <c r="AJ63" s="68"/>
      <c r="AK63" s="69">
        <f t="shared" si="24"/>
        <v>15098.688168619128</v>
      </c>
      <c r="AL63" s="69">
        <f t="shared" si="25"/>
        <v>52.249000000000002</v>
      </c>
      <c r="AO63" s="44">
        <f t="shared" si="26"/>
        <v>-5410.5334999999995</v>
      </c>
      <c r="AP63" s="44">
        <f t="shared" si="27"/>
        <v>-1.065979674068366</v>
      </c>
      <c r="AQ63" s="44">
        <f t="shared" si="28"/>
        <v>0</v>
      </c>
      <c r="AR63" s="44">
        <f t="shared" si="29"/>
        <v>0</v>
      </c>
      <c r="AS63" s="44">
        <f t="shared" si="30"/>
        <v>0</v>
      </c>
      <c r="AT63" s="44">
        <f t="shared" si="31"/>
        <v>308.04215760769694</v>
      </c>
      <c r="AU63" s="61">
        <f t="shared" si="32"/>
        <v>308.04215760769694</v>
      </c>
      <c r="AV63" s="44">
        <f t="shared" si="33"/>
        <v>-1.065979674068366</v>
      </c>
      <c r="AY63" s="44"/>
      <c r="AZ63" s="44"/>
      <c r="BA63" s="44"/>
      <c r="BB63" s="44"/>
      <c r="BC63" s="44"/>
      <c r="BD63" s="44"/>
      <c r="BE63" s="44"/>
      <c r="BF63" s="44"/>
      <c r="BG63" s="44"/>
    </row>
    <row r="64" spans="2:59" hidden="1" x14ac:dyDescent="0.25">
      <c r="B64" s="43" t="s">
        <v>134</v>
      </c>
      <c r="C64" s="89" t="s">
        <v>22</v>
      </c>
      <c r="D64" s="47" t="s">
        <v>136</v>
      </c>
      <c r="E64" s="47">
        <v>220</v>
      </c>
      <c r="F64" s="47" t="s">
        <v>137</v>
      </c>
      <c r="G64" s="25" t="s">
        <v>153</v>
      </c>
      <c r="H64" s="26">
        <v>42736</v>
      </c>
      <c r="I64" s="26">
        <v>50040</v>
      </c>
      <c r="J64" s="16" t="str">
        <f t="shared" si="4"/>
        <v>Hualpen 220</v>
      </c>
      <c r="K64" s="44">
        <f t="shared" si="5"/>
        <v>0</v>
      </c>
      <c r="L64" s="44">
        <f t="shared" si="6"/>
        <v>49.427317474341429</v>
      </c>
      <c r="M64" s="56">
        <f t="shared" si="7"/>
        <v>0</v>
      </c>
      <c r="N64" s="56">
        <f t="shared" si="8"/>
        <v>6.1717231959157077</v>
      </c>
      <c r="O64" s="45">
        <f t="shared" si="9"/>
        <v>305.05172176828279</v>
      </c>
      <c r="P64" s="45">
        <f t="shared" si="10"/>
        <v>49.427317474341429</v>
      </c>
      <c r="S64" s="48">
        <f t="shared" si="11"/>
        <v>0</v>
      </c>
      <c r="T64" s="48">
        <f t="shared" si="12"/>
        <v>49.427317474341429</v>
      </c>
      <c r="U64" s="48">
        <f>([8]Compras!F23)/1000</f>
        <v>0</v>
      </c>
      <c r="V64" s="48">
        <f>([8]Compras!C23)/1000</f>
        <v>6.1717231959157077</v>
      </c>
      <c r="W64" s="48">
        <f>([8]Compras!H23)/1000</f>
        <v>0</v>
      </c>
      <c r="X64" s="48">
        <f>([8]Compras!E23)/1000</f>
        <v>305.05172176828279</v>
      </c>
      <c r="Y64" s="48">
        <f>([8]Compras!K23)/1000</f>
        <v>1.8831638882755697</v>
      </c>
      <c r="Z64" s="48">
        <f t="shared" si="13"/>
        <v>305.05172176828279</v>
      </c>
      <c r="AA64" s="48">
        <f t="shared" si="14"/>
        <v>49.427317474341429</v>
      </c>
      <c r="AD64" s="44">
        <f>+INDEX([2]Precios!$B$9:$H$28,MATCH($J64,[2]Precios!$B$9:$B$28,0),7)</f>
        <v>5317.5688</v>
      </c>
      <c r="AE64" s="44">
        <f>+INDEX([2]Precios!$B$9:$H$28,MATCH($J64,[2]Precios!$B$9:$B$28,0),6)</f>
        <v>50.32</v>
      </c>
      <c r="AF64" s="68">
        <f t="shared" si="20"/>
        <v>0</v>
      </c>
      <c r="AG64" s="68">
        <f t="shared" si="21"/>
        <v>6.1717231959157077</v>
      </c>
      <c r="AH64" s="68">
        <f t="shared" si="22"/>
        <v>0</v>
      </c>
      <c r="AI64" s="68">
        <f t="shared" si="23"/>
        <v>310.5611112184784</v>
      </c>
      <c r="AJ64" s="68"/>
      <c r="AK64" s="69">
        <f t="shared" si="24"/>
        <v>310.5611112184784</v>
      </c>
      <c r="AL64" s="69">
        <f t="shared" si="25"/>
        <v>50.32</v>
      </c>
      <c r="AO64" s="44">
        <f t="shared" si="26"/>
        <v>-5317.5688</v>
      </c>
      <c r="AP64" s="44">
        <f t="shared" si="27"/>
        <v>-0.89268252565857154</v>
      </c>
      <c r="AQ64" s="44">
        <f t="shared" si="28"/>
        <v>0</v>
      </c>
      <c r="AR64" s="44">
        <f t="shared" si="29"/>
        <v>0</v>
      </c>
      <c r="AS64" s="44">
        <f t="shared" si="30"/>
        <v>0</v>
      </c>
      <c r="AT64" s="44">
        <f t="shared" si="31"/>
        <v>5.5093894501956129</v>
      </c>
      <c r="AU64" s="61">
        <f t="shared" si="32"/>
        <v>5.5093894501956129</v>
      </c>
      <c r="AV64" s="44">
        <f t="shared" si="33"/>
        <v>-0.89268252565857154</v>
      </c>
      <c r="AY64" s="44"/>
      <c r="AZ64" s="44"/>
      <c r="BA64" s="44"/>
      <c r="BB64" s="44"/>
      <c r="BC64" s="44"/>
      <c r="BD64" s="44"/>
      <c r="BE64" s="44"/>
      <c r="BF64" s="44"/>
      <c r="BG64" s="44"/>
    </row>
    <row r="65" spans="2:59" hidden="1" x14ac:dyDescent="0.25">
      <c r="B65" s="43" t="s">
        <v>134</v>
      </c>
      <c r="C65" s="89" t="s">
        <v>22</v>
      </c>
      <c r="D65" s="47" t="s">
        <v>131</v>
      </c>
      <c r="E65" s="47">
        <v>220</v>
      </c>
      <c r="F65" s="47" t="s">
        <v>137</v>
      </c>
      <c r="G65" s="25" t="s">
        <v>153</v>
      </c>
      <c r="H65" s="26">
        <v>42736</v>
      </c>
      <c r="I65" s="26">
        <v>50040</v>
      </c>
      <c r="J65" s="16" t="str">
        <f t="shared" si="4"/>
        <v>Lagunillas 220</v>
      </c>
      <c r="K65" s="44">
        <f t="shared" si="5"/>
        <v>0</v>
      </c>
      <c r="L65" s="44">
        <f t="shared" si="6"/>
        <v>49.213207370488945</v>
      </c>
      <c r="M65" s="56">
        <f t="shared" si="7"/>
        <v>0</v>
      </c>
      <c r="N65" s="56">
        <f t="shared" si="8"/>
        <v>167.6231941125597</v>
      </c>
      <c r="O65" s="45">
        <f t="shared" si="9"/>
        <v>8249.2750119651228</v>
      </c>
      <c r="P65" s="45">
        <f t="shared" si="10"/>
        <v>49.213207370488945</v>
      </c>
      <c r="S65" s="48">
        <f t="shared" si="11"/>
        <v>0</v>
      </c>
      <c r="T65" s="48">
        <f t="shared" si="12"/>
        <v>49.213207370488945</v>
      </c>
      <c r="U65" s="48">
        <f>([8]Compras!F24)/1000</f>
        <v>0</v>
      </c>
      <c r="V65" s="48">
        <f>([8]Compras!C24)/1000</f>
        <v>167.6231941125597</v>
      </c>
      <c r="W65" s="48">
        <f>([8]Compras!H24)/1000</f>
        <v>0</v>
      </c>
      <c r="X65" s="48">
        <f>([8]Compras!E24)/1000</f>
        <v>8249.2750119651228</v>
      </c>
      <c r="Y65" s="48">
        <f>([8]Compras!K24)/1000</f>
        <v>59.259704783816758</v>
      </c>
      <c r="Z65" s="48">
        <f t="shared" si="13"/>
        <v>8249.2750119651228</v>
      </c>
      <c r="AA65" s="48">
        <f t="shared" si="14"/>
        <v>49.213207370488945</v>
      </c>
      <c r="AD65" s="44">
        <f>+INDEX([2]Precios!$B$9:$H$28,MATCH($J65,[2]Precios!$B$9:$B$28,0),7)</f>
        <v>5344.6117999999997</v>
      </c>
      <c r="AE65" s="44">
        <f>+INDEX([2]Precios!$B$9:$H$28,MATCH($J65,[2]Precios!$B$9:$B$28,0),6)</f>
        <v>50.063000000000002</v>
      </c>
      <c r="AF65" s="68">
        <f t="shared" si="20"/>
        <v>0</v>
      </c>
      <c r="AG65" s="68">
        <f t="shared" si="21"/>
        <v>167.6231941125597</v>
      </c>
      <c r="AH65" s="68">
        <f t="shared" si="22"/>
        <v>0</v>
      </c>
      <c r="AI65" s="68">
        <f t="shared" si="23"/>
        <v>8391.7199668570775</v>
      </c>
      <c r="AJ65" s="68"/>
      <c r="AK65" s="69">
        <f t="shared" si="24"/>
        <v>8391.7199668570775</v>
      </c>
      <c r="AL65" s="69">
        <f t="shared" si="25"/>
        <v>50.063000000000009</v>
      </c>
      <c r="AO65" s="44">
        <f t="shared" si="26"/>
        <v>-5344.6117999999997</v>
      </c>
      <c r="AP65" s="44">
        <f t="shared" si="27"/>
        <v>-0.84979262951105738</v>
      </c>
      <c r="AQ65" s="44">
        <f t="shared" si="28"/>
        <v>0</v>
      </c>
      <c r="AR65" s="44">
        <f t="shared" si="29"/>
        <v>0</v>
      </c>
      <c r="AS65" s="44">
        <f t="shared" si="30"/>
        <v>0</v>
      </c>
      <c r="AT65" s="44">
        <f t="shared" si="31"/>
        <v>142.44495489195469</v>
      </c>
      <c r="AU65" s="61">
        <f t="shared" si="32"/>
        <v>142.44495489195469</v>
      </c>
      <c r="AV65" s="44">
        <f t="shared" si="33"/>
        <v>-0.84979262951106449</v>
      </c>
      <c r="AY65" s="44"/>
      <c r="AZ65" s="44"/>
      <c r="BA65" s="44"/>
      <c r="BB65" s="44"/>
      <c r="BC65" s="44"/>
      <c r="BD65" s="44"/>
      <c r="BE65" s="44"/>
      <c r="BF65" s="44"/>
      <c r="BG65" s="44"/>
    </row>
    <row r="66" spans="2:59" hidden="1" x14ac:dyDescent="0.25">
      <c r="B66" s="43" t="s">
        <v>134</v>
      </c>
      <c r="C66" s="89" t="s">
        <v>22</v>
      </c>
      <c r="D66" s="47" t="s">
        <v>15</v>
      </c>
      <c r="E66" s="47">
        <v>220</v>
      </c>
      <c r="F66" s="47" t="s">
        <v>137</v>
      </c>
      <c r="G66" s="25" t="s">
        <v>154</v>
      </c>
      <c r="H66" s="26">
        <v>42736</v>
      </c>
      <c r="I66" s="26">
        <v>50040</v>
      </c>
      <c r="J66" s="16" t="str">
        <f t="shared" si="4"/>
        <v>Charrua 220</v>
      </c>
      <c r="K66" s="44">
        <f t="shared" si="5"/>
        <v>0</v>
      </c>
      <c r="L66" s="44">
        <f t="shared" si="6"/>
        <v>49.769893640505352</v>
      </c>
      <c r="M66" s="56">
        <f t="shared" si="7"/>
        <v>0</v>
      </c>
      <c r="N66" s="56">
        <f t="shared" si="8"/>
        <v>530.35444076233262</v>
      </c>
      <c r="O66" s="45">
        <f t="shared" si="9"/>
        <v>26395.684108510992</v>
      </c>
      <c r="P66" s="45">
        <f t="shared" si="10"/>
        <v>49.769893640505352</v>
      </c>
      <c r="S66" s="48">
        <f t="shared" si="11"/>
        <v>0</v>
      </c>
      <c r="T66" s="48">
        <f t="shared" si="12"/>
        <v>49.769893640505352</v>
      </c>
      <c r="U66" s="48">
        <f>([8]Compras!F30)/1000</f>
        <v>0</v>
      </c>
      <c r="V66" s="48">
        <f>([8]Compras!C30)/1000</f>
        <v>530.35444076233262</v>
      </c>
      <c r="W66" s="48">
        <f>([8]Compras!H30)/1000</f>
        <v>0</v>
      </c>
      <c r="X66" s="48">
        <f>([8]Compras!E30)/1000</f>
        <v>26395.684108510992</v>
      </c>
      <c r="Y66" s="48">
        <f>([8]Compras!K30)/1000</f>
        <v>9.5300943122942261</v>
      </c>
      <c r="Z66" s="48">
        <f t="shared" si="13"/>
        <v>26395.684108510992</v>
      </c>
      <c r="AA66" s="48">
        <f t="shared" si="14"/>
        <v>49.769893640505352</v>
      </c>
      <c r="AD66" s="44">
        <f>+INDEX([2]Precios!$B$9:$H$28,MATCH($J66,[2]Precios!$B$9:$B$28,0),7)</f>
        <v>5282.6574000000001</v>
      </c>
      <c r="AE66" s="44">
        <f>+INDEX([2]Precios!$B$9:$H$28,MATCH($J66,[2]Precios!$B$9:$B$28,0),6)</f>
        <v>50.875999999999998</v>
      </c>
      <c r="AF66" s="68">
        <f t="shared" si="20"/>
        <v>0</v>
      </c>
      <c r="AG66" s="68">
        <f t="shared" si="21"/>
        <v>530.35444076233262</v>
      </c>
      <c r="AH66" s="68">
        <f t="shared" si="22"/>
        <v>0</v>
      </c>
      <c r="AI66" s="68">
        <f t="shared" si="23"/>
        <v>26982.312528224433</v>
      </c>
      <c r="AJ66" s="68"/>
      <c r="AK66" s="69">
        <f t="shared" si="24"/>
        <v>26982.312528224433</v>
      </c>
      <c r="AL66" s="69">
        <f t="shared" si="25"/>
        <v>50.875999999999998</v>
      </c>
      <c r="AO66" s="44">
        <f t="shared" si="26"/>
        <v>-5282.6574000000001</v>
      </c>
      <c r="AP66" s="44">
        <f t="shared" si="27"/>
        <v>-1.1061063594946461</v>
      </c>
      <c r="AQ66" s="44">
        <f t="shared" si="28"/>
        <v>0</v>
      </c>
      <c r="AR66" s="44">
        <f t="shared" si="29"/>
        <v>0</v>
      </c>
      <c r="AS66" s="44">
        <f t="shared" si="30"/>
        <v>0</v>
      </c>
      <c r="AT66" s="44">
        <f t="shared" si="31"/>
        <v>586.62841971344096</v>
      </c>
      <c r="AU66" s="61">
        <f t="shared" si="32"/>
        <v>586.62841971344096</v>
      </c>
      <c r="AV66" s="44">
        <f t="shared" si="33"/>
        <v>-1.1061063594946461</v>
      </c>
      <c r="AY66" s="44"/>
      <c r="AZ66" s="44"/>
      <c r="BA66" s="44"/>
      <c r="BB66" s="44"/>
      <c r="BC66" s="44"/>
      <c r="BD66" s="44"/>
      <c r="BE66" s="44"/>
      <c r="BF66" s="44"/>
      <c r="BG66" s="44"/>
    </row>
    <row r="67" spans="2:59" hidden="1" x14ac:dyDescent="0.25">
      <c r="B67" s="43" t="s">
        <v>134</v>
      </c>
      <c r="C67" s="89" t="s">
        <v>22</v>
      </c>
      <c r="D67" s="47" t="s">
        <v>16</v>
      </c>
      <c r="E67" s="47">
        <v>220</v>
      </c>
      <c r="F67" s="47" t="s">
        <v>137</v>
      </c>
      <c r="G67" s="25" t="s">
        <v>154</v>
      </c>
      <c r="H67" s="26">
        <v>42736</v>
      </c>
      <c r="I67" s="26">
        <v>50040</v>
      </c>
      <c r="J67" s="16" t="str">
        <f t="shared" si="4"/>
        <v>Temuco 220</v>
      </c>
      <c r="K67" s="44">
        <f t="shared" si="5"/>
        <v>0</v>
      </c>
      <c r="L67" s="44">
        <f t="shared" si="6"/>
        <v>51.183020325931629</v>
      </c>
      <c r="M67" s="56">
        <f t="shared" si="7"/>
        <v>0</v>
      </c>
      <c r="N67" s="56">
        <f t="shared" si="8"/>
        <v>407.58957969067058</v>
      </c>
      <c r="O67" s="45">
        <f t="shared" si="9"/>
        <v>20861.665741945522</v>
      </c>
      <c r="P67" s="45">
        <f t="shared" si="10"/>
        <v>51.183020325931629</v>
      </c>
      <c r="S67" s="48">
        <f t="shared" si="11"/>
        <v>0</v>
      </c>
      <c r="T67" s="48">
        <f t="shared" si="12"/>
        <v>51.183020325931629</v>
      </c>
      <c r="U67" s="48">
        <f>([8]Compras!F31)/1000</f>
        <v>0</v>
      </c>
      <c r="V67" s="48">
        <f>([8]Compras!C31)/1000</f>
        <v>407.58957969067058</v>
      </c>
      <c r="W67" s="48">
        <f>([8]Compras!H31)/1000</f>
        <v>0</v>
      </c>
      <c r="X67" s="48">
        <f>([8]Compras!E31)/1000</f>
        <v>20861.665741945522</v>
      </c>
      <c r="Y67" s="48">
        <f>([8]Compras!K31)/1000</f>
        <v>22.140161066465897</v>
      </c>
      <c r="Z67" s="48">
        <f t="shared" si="13"/>
        <v>20861.665741945522</v>
      </c>
      <c r="AA67" s="48">
        <f t="shared" si="14"/>
        <v>51.183020325931629</v>
      </c>
      <c r="AD67" s="44">
        <f>+INDEX([2]Precios!$B$9:$H$28,MATCH($J67,[2]Precios!$B$9:$B$28,0),7)</f>
        <v>5410.5334999999995</v>
      </c>
      <c r="AE67" s="44">
        <f>+INDEX([2]Precios!$B$9:$H$28,MATCH($J67,[2]Precios!$B$9:$B$28,0),6)</f>
        <v>52.249000000000002</v>
      </c>
      <c r="AF67" s="68">
        <f t="shared" si="20"/>
        <v>0</v>
      </c>
      <c r="AG67" s="68">
        <f t="shared" si="21"/>
        <v>407.58957969067058</v>
      </c>
      <c r="AH67" s="68">
        <f t="shared" si="22"/>
        <v>0</v>
      </c>
      <c r="AI67" s="68">
        <f t="shared" si="23"/>
        <v>21296.147949257847</v>
      </c>
      <c r="AJ67" s="68"/>
      <c r="AK67" s="69">
        <f t="shared" si="24"/>
        <v>21296.147949257847</v>
      </c>
      <c r="AL67" s="69">
        <f t="shared" si="25"/>
        <v>52.249000000000002</v>
      </c>
      <c r="AO67" s="44">
        <f t="shared" si="26"/>
        <v>-5410.5334999999995</v>
      </c>
      <c r="AP67" s="44">
        <f t="shared" si="27"/>
        <v>-1.0659796740683731</v>
      </c>
      <c r="AQ67" s="44">
        <f t="shared" si="28"/>
        <v>0</v>
      </c>
      <c r="AR67" s="44">
        <f t="shared" si="29"/>
        <v>0</v>
      </c>
      <c r="AS67" s="44">
        <f t="shared" si="30"/>
        <v>0</v>
      </c>
      <c r="AT67" s="44">
        <f t="shared" si="31"/>
        <v>434.48220731232504</v>
      </c>
      <c r="AU67" s="61">
        <f t="shared" si="32"/>
        <v>434.48220731232504</v>
      </c>
      <c r="AV67" s="44">
        <f t="shared" si="33"/>
        <v>-1.0659796740683731</v>
      </c>
      <c r="AY67" s="44"/>
      <c r="AZ67" s="44"/>
      <c r="BA67" s="44"/>
      <c r="BB67" s="44"/>
      <c r="BC67" s="44"/>
      <c r="BD67" s="44"/>
      <c r="BE67" s="44"/>
      <c r="BF67" s="44"/>
      <c r="BG67" s="44"/>
    </row>
    <row r="68" spans="2:59" hidden="1" x14ac:dyDescent="0.25">
      <c r="B68" s="43" t="s">
        <v>134</v>
      </c>
      <c r="C68" s="89" t="s">
        <v>22</v>
      </c>
      <c r="D68" s="47" t="s">
        <v>136</v>
      </c>
      <c r="E68" s="47">
        <v>220</v>
      </c>
      <c r="F68" s="47" t="s">
        <v>137</v>
      </c>
      <c r="G68" s="25" t="s">
        <v>154</v>
      </c>
      <c r="H68" s="26">
        <v>42736</v>
      </c>
      <c r="I68" s="26">
        <v>50040</v>
      </c>
      <c r="J68" s="16" t="str">
        <f t="shared" si="4"/>
        <v>Hualpen 220</v>
      </c>
      <c r="K68" s="44">
        <f t="shared" si="5"/>
        <v>0</v>
      </c>
      <c r="L68" s="44">
        <f t="shared" si="6"/>
        <v>49.427317474341422</v>
      </c>
      <c r="M68" s="56">
        <f t="shared" si="7"/>
        <v>0</v>
      </c>
      <c r="N68" s="56">
        <f t="shared" si="8"/>
        <v>8.1859937305332213</v>
      </c>
      <c r="O68" s="45">
        <f t="shared" si="9"/>
        <v>404.61171096203401</v>
      </c>
      <c r="P68" s="45">
        <f t="shared" si="10"/>
        <v>49.427317474341422</v>
      </c>
      <c r="S68" s="48">
        <f t="shared" si="11"/>
        <v>0</v>
      </c>
      <c r="T68" s="48">
        <f t="shared" si="12"/>
        <v>49.427317474341422</v>
      </c>
      <c r="U68" s="48">
        <f>([8]Compras!F32)/1000</f>
        <v>0</v>
      </c>
      <c r="V68" s="48">
        <f>([8]Compras!C32)/1000</f>
        <v>8.1859937305332213</v>
      </c>
      <c r="W68" s="48">
        <f>([8]Compras!H32)/1000</f>
        <v>0</v>
      </c>
      <c r="X68" s="48">
        <f>([8]Compras!E32)/1000</f>
        <v>404.61171096203401</v>
      </c>
      <c r="Y68" s="48">
        <f>([8]Compras!K32)/1000</f>
        <v>2.4977736838865381</v>
      </c>
      <c r="Z68" s="48">
        <f t="shared" si="13"/>
        <v>404.61171096203401</v>
      </c>
      <c r="AA68" s="48">
        <f t="shared" si="14"/>
        <v>49.427317474341422</v>
      </c>
      <c r="AD68" s="44">
        <f>+INDEX([2]Precios!$B$9:$H$28,MATCH($J68,[2]Precios!$B$9:$B$28,0),7)</f>
        <v>5317.5688</v>
      </c>
      <c r="AE68" s="44">
        <f>+INDEX([2]Precios!$B$9:$H$28,MATCH($J68,[2]Precios!$B$9:$B$28,0),6)</f>
        <v>50.32</v>
      </c>
      <c r="AF68" s="68">
        <f t="shared" si="20"/>
        <v>0</v>
      </c>
      <c r="AG68" s="68">
        <f t="shared" si="21"/>
        <v>8.1859937305332213</v>
      </c>
      <c r="AH68" s="68">
        <f t="shared" si="22"/>
        <v>0</v>
      </c>
      <c r="AI68" s="68">
        <f t="shared" si="23"/>
        <v>411.91920452043172</v>
      </c>
      <c r="AJ68" s="68"/>
      <c r="AK68" s="69">
        <f t="shared" si="24"/>
        <v>411.91920452043172</v>
      </c>
      <c r="AL68" s="69">
        <f t="shared" si="25"/>
        <v>50.32</v>
      </c>
      <c r="AO68" s="44">
        <f t="shared" si="26"/>
        <v>-5317.5688</v>
      </c>
      <c r="AP68" s="44">
        <f t="shared" si="27"/>
        <v>-0.89268252565857864</v>
      </c>
      <c r="AQ68" s="44">
        <f t="shared" si="28"/>
        <v>0</v>
      </c>
      <c r="AR68" s="44">
        <f t="shared" si="29"/>
        <v>0</v>
      </c>
      <c r="AS68" s="44">
        <f t="shared" si="30"/>
        <v>0</v>
      </c>
      <c r="AT68" s="44">
        <f t="shared" si="31"/>
        <v>7.3074935583977094</v>
      </c>
      <c r="AU68" s="61">
        <f t="shared" si="32"/>
        <v>7.3074935583977094</v>
      </c>
      <c r="AV68" s="44">
        <f t="shared" si="33"/>
        <v>-0.89268252565857864</v>
      </c>
      <c r="AY68" s="44"/>
      <c r="AZ68" s="44"/>
      <c r="BA68" s="44"/>
      <c r="BB68" s="44"/>
      <c r="BC68" s="44"/>
      <c r="BD68" s="44"/>
      <c r="BE68" s="44"/>
      <c r="BF68" s="44"/>
      <c r="BG68" s="44"/>
    </row>
    <row r="69" spans="2:59" hidden="1" x14ac:dyDescent="0.25">
      <c r="B69" s="43" t="s">
        <v>134</v>
      </c>
      <c r="C69" s="89" t="s">
        <v>22</v>
      </c>
      <c r="D69" s="47" t="s">
        <v>131</v>
      </c>
      <c r="E69" s="47">
        <v>220</v>
      </c>
      <c r="F69" s="47" t="s">
        <v>137</v>
      </c>
      <c r="G69" s="25" t="s">
        <v>154</v>
      </c>
      <c r="H69" s="26">
        <v>42736</v>
      </c>
      <c r="I69" s="26">
        <v>50040</v>
      </c>
      <c r="J69" s="16" t="str">
        <f t="shared" si="4"/>
        <v>Lagunillas 220</v>
      </c>
      <c r="K69" s="44">
        <f t="shared" si="5"/>
        <v>0</v>
      </c>
      <c r="L69" s="44">
        <f t="shared" si="6"/>
        <v>49.213207370488945</v>
      </c>
      <c r="M69" s="56">
        <f t="shared" si="7"/>
        <v>0</v>
      </c>
      <c r="N69" s="56">
        <f t="shared" si="8"/>
        <v>228.93223132586692</v>
      </c>
      <c r="O69" s="45">
        <f t="shared" si="9"/>
        <v>11266.489374028633</v>
      </c>
      <c r="P69" s="45">
        <f t="shared" si="10"/>
        <v>49.213207370488945</v>
      </c>
      <c r="S69" s="48">
        <f t="shared" si="11"/>
        <v>0</v>
      </c>
      <c r="T69" s="48">
        <f t="shared" si="12"/>
        <v>49.213207370488945</v>
      </c>
      <c r="U69" s="48">
        <f>([8]Compras!F33)/1000</f>
        <v>0</v>
      </c>
      <c r="V69" s="48">
        <f>([8]Compras!C33)/1000</f>
        <v>228.93223132586692</v>
      </c>
      <c r="W69" s="48">
        <f>([8]Compras!H33)/1000</f>
        <v>0</v>
      </c>
      <c r="X69" s="48">
        <f>([8]Compras!E33)/1000</f>
        <v>11266.489374028633</v>
      </c>
      <c r="Y69" s="48">
        <f>([8]Compras!K33)/1000</f>
        <v>80.934243710696663</v>
      </c>
      <c r="Z69" s="48">
        <f t="shared" si="13"/>
        <v>11266.489374028633</v>
      </c>
      <c r="AA69" s="48">
        <f t="shared" si="14"/>
        <v>49.213207370488945</v>
      </c>
      <c r="AD69" s="44">
        <f>+INDEX([2]Precios!$B$9:$H$28,MATCH($J69,[2]Precios!$B$9:$B$28,0),7)</f>
        <v>5344.6117999999997</v>
      </c>
      <c r="AE69" s="44">
        <f>+INDEX([2]Precios!$B$9:$H$28,MATCH($J69,[2]Precios!$B$9:$B$28,0),6)</f>
        <v>50.063000000000002</v>
      </c>
      <c r="AF69" s="68">
        <f t="shared" si="20"/>
        <v>0</v>
      </c>
      <c r="AG69" s="68">
        <f t="shared" si="21"/>
        <v>228.93223132586692</v>
      </c>
      <c r="AH69" s="68">
        <f t="shared" si="22"/>
        <v>0</v>
      </c>
      <c r="AI69" s="68">
        <f t="shared" si="23"/>
        <v>11461.034296866876</v>
      </c>
      <c r="AJ69" s="68"/>
      <c r="AK69" s="69">
        <f t="shared" si="24"/>
        <v>11461.034296866876</v>
      </c>
      <c r="AL69" s="69">
        <f t="shared" si="25"/>
        <v>50.063000000000002</v>
      </c>
      <c r="AO69" s="44">
        <f t="shared" si="26"/>
        <v>-5344.6117999999997</v>
      </c>
      <c r="AP69" s="44">
        <f t="shared" si="27"/>
        <v>-0.84979262951105738</v>
      </c>
      <c r="AQ69" s="44">
        <f t="shared" si="28"/>
        <v>0</v>
      </c>
      <c r="AR69" s="44">
        <f t="shared" si="29"/>
        <v>0</v>
      </c>
      <c r="AS69" s="44">
        <f t="shared" si="30"/>
        <v>0</v>
      </c>
      <c r="AT69" s="44">
        <f t="shared" si="31"/>
        <v>194.5449228382422</v>
      </c>
      <c r="AU69" s="61">
        <f t="shared" si="32"/>
        <v>194.5449228382422</v>
      </c>
      <c r="AV69" s="44">
        <f t="shared" si="33"/>
        <v>-0.84979262951105738</v>
      </c>
      <c r="AY69" s="44"/>
      <c r="AZ69" s="44"/>
      <c r="BA69" s="44"/>
      <c r="BB69" s="44"/>
      <c r="BC69" s="44"/>
      <c r="BD69" s="44"/>
      <c r="BE69" s="44"/>
      <c r="BF69" s="44"/>
      <c r="BG69" s="44"/>
    </row>
    <row r="70" spans="2:59" hidden="1" x14ac:dyDescent="0.25">
      <c r="B70" s="43" t="s">
        <v>134</v>
      </c>
      <c r="C70" s="89" t="s">
        <v>22</v>
      </c>
      <c r="D70" s="47" t="s">
        <v>15</v>
      </c>
      <c r="E70" s="47">
        <v>220</v>
      </c>
      <c r="F70" s="47" t="s">
        <v>137</v>
      </c>
      <c r="G70" s="25" t="s">
        <v>155</v>
      </c>
      <c r="H70" s="26">
        <v>42736</v>
      </c>
      <c r="I70" s="26">
        <v>50040</v>
      </c>
      <c r="J70" s="16" t="str">
        <f t="shared" si="4"/>
        <v>Charrua 220</v>
      </c>
      <c r="K70" s="44">
        <f t="shared" si="5"/>
        <v>5075.7405571666386</v>
      </c>
      <c r="L70" s="44">
        <f t="shared" si="6"/>
        <v>49.769893640505352</v>
      </c>
      <c r="M70" s="56">
        <f t="shared" si="7"/>
        <v>2.3751845045794902</v>
      </c>
      <c r="N70" s="56">
        <f t="shared" si="8"/>
        <v>291.89241459801417</v>
      </c>
      <c r="O70" s="45">
        <f t="shared" si="9"/>
        <v>26583.274749661323</v>
      </c>
      <c r="P70" s="45">
        <f t="shared" si="10"/>
        <v>91.072167073169894</v>
      </c>
      <c r="S70" s="48">
        <f t="shared" si="11"/>
        <v>5075.7405571666386</v>
      </c>
      <c r="T70" s="48">
        <f t="shared" si="12"/>
        <v>49.769893640505352</v>
      </c>
      <c r="U70" s="48">
        <f>([8]Compras!F39)/1000</f>
        <v>2.3751845045794902</v>
      </c>
      <c r="V70" s="48">
        <f>([8]Compras!C39)/1000</f>
        <v>291.89241459801417</v>
      </c>
      <c r="W70" s="48">
        <f>([8]Compras!H39)/1000</f>
        <v>12055.820320647868</v>
      </c>
      <c r="X70" s="48">
        <f>([8]Compras!E39)/1000</f>
        <v>14527.454429013456</v>
      </c>
      <c r="Y70" s="48">
        <f>([8]Compras!K39)/1000</f>
        <v>5.2451003071905129</v>
      </c>
      <c r="Z70" s="48">
        <f t="shared" si="13"/>
        <v>26583.274749661323</v>
      </c>
      <c r="AA70" s="48">
        <f t="shared" si="14"/>
        <v>91.072167073169894</v>
      </c>
      <c r="AD70" s="44">
        <f>+INDEX([2]Precios!$B$9:$H$28,MATCH($J70,[2]Precios!$B$9:$B$28,0),7)</f>
        <v>5282.6574000000001</v>
      </c>
      <c r="AE70" s="44">
        <f>+INDEX([2]Precios!$B$9:$H$28,MATCH($J70,[2]Precios!$B$9:$B$28,0),6)</f>
        <v>50.875999999999998</v>
      </c>
      <c r="AF70" s="68">
        <f t="shared" si="20"/>
        <v>2.3751845045794902</v>
      </c>
      <c r="AG70" s="68">
        <f t="shared" si="21"/>
        <v>291.89241459801417</v>
      </c>
      <c r="AH70" s="68">
        <f t="shared" si="22"/>
        <v>12547.285999482177</v>
      </c>
      <c r="AI70" s="68">
        <f t="shared" si="23"/>
        <v>14850.318485088568</v>
      </c>
      <c r="AJ70" s="68"/>
      <c r="AK70" s="69">
        <f t="shared" si="24"/>
        <v>27397.604484570744</v>
      </c>
      <c r="AL70" s="69">
        <f t="shared" si="25"/>
        <v>93.861995428356494</v>
      </c>
      <c r="AO70" s="44">
        <f t="shared" si="26"/>
        <v>-206.91684283336144</v>
      </c>
      <c r="AP70" s="44">
        <f t="shared" si="27"/>
        <v>-1.1061063594946461</v>
      </c>
      <c r="AQ70" s="44">
        <f t="shared" si="28"/>
        <v>0</v>
      </c>
      <c r="AR70" s="44">
        <f t="shared" si="29"/>
        <v>0</v>
      </c>
      <c r="AS70" s="44">
        <f t="shared" si="30"/>
        <v>491.46567883430907</v>
      </c>
      <c r="AT70" s="44">
        <f t="shared" si="31"/>
        <v>322.86405607511188</v>
      </c>
      <c r="AU70" s="61">
        <f t="shared" si="32"/>
        <v>814.32973490942095</v>
      </c>
      <c r="AV70" s="44">
        <f t="shared" si="33"/>
        <v>-2.7898283551866001</v>
      </c>
      <c r="AY70" s="44"/>
      <c r="AZ70" s="44"/>
      <c r="BA70" s="44"/>
      <c r="BB70" s="44"/>
      <c r="BC70" s="44"/>
      <c r="BD70" s="44"/>
      <c r="BE70" s="44"/>
      <c r="BF70" s="44"/>
      <c r="BG70" s="44"/>
    </row>
    <row r="71" spans="2:59" hidden="1" x14ac:dyDescent="0.25">
      <c r="B71" s="43" t="s">
        <v>134</v>
      </c>
      <c r="C71" s="89" t="s">
        <v>22</v>
      </c>
      <c r="D71" s="47" t="s">
        <v>16</v>
      </c>
      <c r="E71" s="47">
        <v>220</v>
      </c>
      <c r="F71" s="47" t="s">
        <v>137</v>
      </c>
      <c r="G71" s="25" t="s">
        <v>155</v>
      </c>
      <c r="H71" s="26">
        <v>42736</v>
      </c>
      <c r="I71" s="26">
        <v>50040</v>
      </c>
      <c r="J71" s="16" t="str">
        <f t="shared" si="4"/>
        <v>Temuco 220</v>
      </c>
      <c r="K71" s="44">
        <f t="shared" si="5"/>
        <v>5185.1752835603183</v>
      </c>
      <c r="L71" s="44">
        <f t="shared" si="6"/>
        <v>51.183020325931636</v>
      </c>
      <c r="M71" s="56">
        <f t="shared" si="7"/>
        <v>1.8640911811074392</v>
      </c>
      <c r="N71" s="56">
        <f t="shared" si="8"/>
        <v>210.46869545620069</v>
      </c>
      <c r="O71" s="45">
        <f t="shared" si="9"/>
        <v>20438.06303608809</v>
      </c>
      <c r="P71" s="45">
        <f t="shared" si="10"/>
        <v>97.107377378795633</v>
      </c>
      <c r="S71" s="48">
        <f t="shared" si="11"/>
        <v>5185.1752835603183</v>
      </c>
      <c r="T71" s="48">
        <f t="shared" si="12"/>
        <v>51.183020325931636</v>
      </c>
      <c r="U71" s="48">
        <f>([8]Compras!F40)/1000</f>
        <v>1.8640911811074392</v>
      </c>
      <c r="V71" s="48">
        <f>([8]Compras!C40)/1000</f>
        <v>210.46869545620069</v>
      </c>
      <c r="W71" s="48">
        <f>([8]Compras!H40)/1000</f>
        <v>9665.6395185810543</v>
      </c>
      <c r="X71" s="48">
        <f>([8]Compras!E40)/1000</f>
        <v>10772.423517507035</v>
      </c>
      <c r="Y71" s="48">
        <f>([8]Compras!K40)/1000</f>
        <v>11.432605368335677</v>
      </c>
      <c r="Z71" s="48">
        <f t="shared" si="13"/>
        <v>20438.06303608809</v>
      </c>
      <c r="AA71" s="48">
        <f t="shared" si="14"/>
        <v>97.107377378795633</v>
      </c>
      <c r="AD71" s="44">
        <f>+INDEX([2]Precios!$B$9:$H$28,MATCH($J71,[2]Precios!$B$9:$B$28,0),7)</f>
        <v>5410.5334999999995</v>
      </c>
      <c r="AE71" s="44">
        <f>+INDEX([2]Precios!$B$9:$H$28,MATCH($J71,[2]Precios!$B$9:$B$28,0),6)</f>
        <v>52.249000000000002</v>
      </c>
      <c r="AF71" s="68">
        <f t="shared" si="20"/>
        <v>1.8640911811074392</v>
      </c>
      <c r="AG71" s="68">
        <f t="shared" si="21"/>
        <v>210.46869545620069</v>
      </c>
      <c r="AH71" s="68">
        <f t="shared" si="22"/>
        <v>10085.727782436366</v>
      </c>
      <c r="AI71" s="68">
        <f t="shared" si="23"/>
        <v>10996.77886889103</v>
      </c>
      <c r="AJ71" s="68"/>
      <c r="AK71" s="69">
        <f t="shared" si="24"/>
        <v>21082.506651327396</v>
      </c>
      <c r="AL71" s="69">
        <f t="shared" si="25"/>
        <v>100.16932259512552</v>
      </c>
      <c r="AO71" s="44">
        <f t="shared" si="26"/>
        <v>-225.3582164396812</v>
      </c>
      <c r="AP71" s="44">
        <f t="shared" si="27"/>
        <v>-1.065979674068366</v>
      </c>
      <c r="AQ71" s="44">
        <f t="shared" si="28"/>
        <v>0</v>
      </c>
      <c r="AR71" s="44">
        <f t="shared" si="29"/>
        <v>0</v>
      </c>
      <c r="AS71" s="44">
        <f t="shared" si="30"/>
        <v>420.08826385531211</v>
      </c>
      <c r="AT71" s="44">
        <f t="shared" si="31"/>
        <v>224.35535138399428</v>
      </c>
      <c r="AU71" s="61">
        <f t="shared" si="32"/>
        <v>644.44361523930638</v>
      </c>
      <c r="AV71" s="44">
        <f t="shared" si="33"/>
        <v>-3.0619452163298888</v>
      </c>
      <c r="AY71" s="44"/>
      <c r="AZ71" s="44"/>
      <c r="BA71" s="44"/>
      <c r="BB71" s="44"/>
      <c r="BC71" s="44"/>
      <c r="BD71" s="44"/>
      <c r="BE71" s="44"/>
      <c r="BF71" s="44"/>
      <c r="BG71" s="44"/>
    </row>
    <row r="72" spans="2:59" hidden="1" x14ac:dyDescent="0.25">
      <c r="B72" s="43" t="s">
        <v>134</v>
      </c>
      <c r="C72" s="89" t="s">
        <v>22</v>
      </c>
      <c r="D72" s="47" t="s">
        <v>136</v>
      </c>
      <c r="E72" s="47">
        <v>220</v>
      </c>
      <c r="F72" s="47" t="s">
        <v>137</v>
      </c>
      <c r="G72" s="25" t="s">
        <v>155</v>
      </c>
      <c r="H72" s="26">
        <v>42736</v>
      </c>
      <c r="I72" s="26">
        <v>50040</v>
      </c>
      <c r="J72" s="16" t="str">
        <f t="shared" si="4"/>
        <v>Hualpen 220</v>
      </c>
      <c r="K72" s="44">
        <f t="shared" si="5"/>
        <v>5035.1256071648604</v>
      </c>
      <c r="L72" s="44">
        <f t="shared" si="6"/>
        <v>49.427317474341422</v>
      </c>
      <c r="M72" s="56">
        <f t="shared" si="7"/>
        <v>3.5758302546669903E-2</v>
      </c>
      <c r="N72" s="56">
        <f t="shared" si="8"/>
        <v>4.3797480550376173</v>
      </c>
      <c r="O72" s="45">
        <f t="shared" si="9"/>
        <v>396.52674239545973</v>
      </c>
      <c r="P72" s="45">
        <f t="shared" si="10"/>
        <v>90.536427532486002</v>
      </c>
      <c r="S72" s="48">
        <f t="shared" si="11"/>
        <v>5035.1256071648604</v>
      </c>
      <c r="T72" s="48">
        <f t="shared" si="12"/>
        <v>49.427317474341422</v>
      </c>
      <c r="U72" s="48">
        <f>([8]Compras!F41)/1000</f>
        <v>3.5758302546669903E-2</v>
      </c>
      <c r="V72" s="48">
        <f>([8]Compras!C41)/1000</f>
        <v>4.3797480550376173</v>
      </c>
      <c r="W72" s="48">
        <f>([8]Compras!H41)/1000</f>
        <v>180.04754482148607</v>
      </c>
      <c r="X72" s="48">
        <f>([8]Compras!E41)/1000</f>
        <v>216.47919757397369</v>
      </c>
      <c r="Y72" s="48">
        <f>([8]Compras!K41)/1000</f>
        <v>1.3363825815211834</v>
      </c>
      <c r="Z72" s="48">
        <f t="shared" si="13"/>
        <v>396.52674239545973</v>
      </c>
      <c r="AA72" s="48">
        <f t="shared" si="14"/>
        <v>90.536427532486002</v>
      </c>
      <c r="AD72" s="44">
        <f>+INDEX([2]Precios!$B$9:$H$28,MATCH($J72,[2]Precios!$B$9:$B$28,0),7)</f>
        <v>5317.5688</v>
      </c>
      <c r="AE72" s="44">
        <f>+INDEX([2]Precios!$B$9:$H$28,MATCH($J72,[2]Precios!$B$9:$B$28,0),6)</f>
        <v>50.32</v>
      </c>
      <c r="AF72" s="68">
        <f t="shared" si="20"/>
        <v>3.5758302546669903E-2</v>
      </c>
      <c r="AG72" s="68">
        <f t="shared" si="21"/>
        <v>4.3797480550376173</v>
      </c>
      <c r="AH72" s="68">
        <f t="shared" si="22"/>
        <v>190.14723396313241</v>
      </c>
      <c r="AI72" s="68">
        <f t="shared" si="23"/>
        <v>220.3889221294929</v>
      </c>
      <c r="AJ72" s="68"/>
      <c r="AK72" s="69">
        <f t="shared" si="24"/>
        <v>410.53615609262533</v>
      </c>
      <c r="AL72" s="69">
        <f t="shared" si="25"/>
        <v>93.73510780384359</v>
      </c>
      <c r="AO72" s="44">
        <f t="shared" si="26"/>
        <v>-282.4431928351396</v>
      </c>
      <c r="AP72" s="44">
        <f t="shared" si="27"/>
        <v>-0.89268252565857864</v>
      </c>
      <c r="AQ72" s="44">
        <f t="shared" si="28"/>
        <v>0</v>
      </c>
      <c r="AR72" s="44">
        <f t="shared" si="29"/>
        <v>0</v>
      </c>
      <c r="AS72" s="44">
        <f t="shared" si="30"/>
        <v>10.099689141646337</v>
      </c>
      <c r="AT72" s="44">
        <f t="shared" si="31"/>
        <v>3.909724555519233</v>
      </c>
      <c r="AU72" s="61">
        <f t="shared" si="32"/>
        <v>14.009413697165598</v>
      </c>
      <c r="AV72" s="44">
        <f t="shared" si="33"/>
        <v>-3.1986802713575884</v>
      </c>
      <c r="AY72" s="44"/>
      <c r="AZ72" s="44"/>
      <c r="BA72" s="44"/>
      <c r="BB72" s="44"/>
      <c r="BC72" s="44"/>
      <c r="BD72" s="44"/>
      <c r="BE72" s="44"/>
      <c r="BF72" s="44"/>
      <c r="BG72" s="44"/>
    </row>
    <row r="73" spans="2:59" hidden="1" x14ac:dyDescent="0.25">
      <c r="B73" s="43" t="s">
        <v>134</v>
      </c>
      <c r="C73" s="89" t="s">
        <v>22</v>
      </c>
      <c r="D73" s="47" t="s">
        <v>131</v>
      </c>
      <c r="E73" s="47">
        <v>220</v>
      </c>
      <c r="F73" s="47" t="s">
        <v>137</v>
      </c>
      <c r="G73" s="25" t="s">
        <v>155</v>
      </c>
      <c r="H73" s="26">
        <v>42736</v>
      </c>
      <c r="I73" s="26">
        <v>50040</v>
      </c>
      <c r="J73" s="16" t="str">
        <f t="shared" ref="J73:J124" si="34">+D73</f>
        <v>Lagunillas 220</v>
      </c>
      <c r="K73" s="44">
        <f t="shared" ref="K73:K95" si="35">+S73</f>
        <v>5049.7921168877247</v>
      </c>
      <c r="L73" s="44">
        <f t="shared" ref="L73:L95" si="36">+T73</f>
        <v>49.213207370488952</v>
      </c>
      <c r="M73" s="56">
        <f t="shared" ref="M73:M95" si="37">+U73</f>
        <v>1.1848138651032292</v>
      </c>
      <c r="N73" s="56">
        <f t="shared" ref="N73:N81" si="38">+V73</f>
        <v>143.25738331721274</v>
      </c>
      <c r="O73" s="45">
        <f t="shared" ref="O73:O95" si="39">+Z73</f>
        <v>13033.219028521176</v>
      </c>
      <c r="P73" s="45">
        <f t="shared" ref="P73:P95" si="40">+AA73</f>
        <v>90.977642664754725</v>
      </c>
      <c r="S73" s="48">
        <f t="shared" ref="S73:S122" si="41">+IFERROR(W73/U73,0)</f>
        <v>5049.7921168877247</v>
      </c>
      <c r="T73" s="48">
        <f>+IFERROR(X73/V73,0)</f>
        <v>49.213207370488952</v>
      </c>
      <c r="U73" s="48">
        <f>([8]Compras!F42)/1000</f>
        <v>1.1848138651032292</v>
      </c>
      <c r="V73" s="48">
        <f>([8]Compras!C42)/1000</f>
        <v>143.25738331721274</v>
      </c>
      <c r="W73" s="48">
        <f>([8]Compras!H42)/1000</f>
        <v>5983.0637159775624</v>
      </c>
      <c r="X73" s="48">
        <f>([8]Compras!E42)/1000</f>
        <v>7050.1553125436149</v>
      </c>
      <c r="Y73" s="48">
        <f>([8]Compras!K42)/1000</f>
        <v>50.645677577170154</v>
      </c>
      <c r="Z73" s="48">
        <f t="shared" ref="Z73:Z124" si="42">+S73*U73+T73*V73</f>
        <v>13033.219028521176</v>
      </c>
      <c r="AA73" s="48">
        <f t="shared" ref="AA73:AA124" si="43">+Z73/V73</f>
        <v>90.977642664754725</v>
      </c>
      <c r="AD73" s="44">
        <f>+INDEX([2]Precios!$B$9:$H$28,MATCH($J73,[2]Precios!$B$9:$B$28,0),7)</f>
        <v>5344.6117999999997</v>
      </c>
      <c r="AE73" s="44">
        <f>+INDEX([2]Precios!$B$9:$H$28,MATCH($J73,[2]Precios!$B$9:$B$28,0),6)</f>
        <v>50.063000000000002</v>
      </c>
      <c r="AF73" s="68">
        <f t="shared" si="20"/>
        <v>1.1848138651032292</v>
      </c>
      <c r="AG73" s="68">
        <f t="shared" si="21"/>
        <v>143.25738331721274</v>
      </c>
      <c r="AH73" s="68">
        <f t="shared" si="22"/>
        <v>6332.3701642343267</v>
      </c>
      <c r="AI73" s="68">
        <f t="shared" si="23"/>
        <v>7171.8943810096216</v>
      </c>
      <c r="AJ73" s="68"/>
      <c r="AK73" s="69">
        <f t="shared" si="24"/>
        <v>13504.264545243948</v>
      </c>
      <c r="AL73" s="69">
        <f t="shared" si="25"/>
        <v>94.265749049329287</v>
      </c>
      <c r="AO73" s="44">
        <f t="shared" si="26"/>
        <v>-294.81968311227502</v>
      </c>
      <c r="AP73" s="44">
        <f t="shared" si="27"/>
        <v>-0.84979262951105028</v>
      </c>
      <c r="AQ73" s="44">
        <f t="shared" si="28"/>
        <v>0</v>
      </c>
      <c r="AR73" s="44">
        <f t="shared" si="29"/>
        <v>0</v>
      </c>
      <c r="AS73" s="44">
        <f t="shared" si="30"/>
        <v>349.30644825676427</v>
      </c>
      <c r="AT73" s="44">
        <f t="shared" si="31"/>
        <v>121.73906846600676</v>
      </c>
      <c r="AU73" s="61">
        <f t="shared" si="32"/>
        <v>471.04551672277194</v>
      </c>
      <c r="AV73" s="44">
        <f t="shared" si="33"/>
        <v>-3.2881063845745615</v>
      </c>
      <c r="AY73" s="44"/>
      <c r="AZ73" s="44"/>
      <c r="BA73" s="44"/>
      <c r="BB73" s="44"/>
      <c r="BC73" s="44"/>
      <c r="BD73" s="44"/>
      <c r="BE73" s="44"/>
      <c r="BF73" s="44"/>
      <c r="BG73" s="44"/>
    </row>
    <row r="74" spans="2:59" hidden="1" x14ac:dyDescent="0.25">
      <c r="B74" s="43" t="s">
        <v>134</v>
      </c>
      <c r="C74" s="47" t="s">
        <v>19</v>
      </c>
      <c r="D74" s="47" t="s">
        <v>15</v>
      </c>
      <c r="E74" s="47">
        <v>220</v>
      </c>
      <c r="F74" s="47" t="s">
        <v>137</v>
      </c>
      <c r="G74" s="25" t="s">
        <v>153</v>
      </c>
      <c r="H74" s="26">
        <v>42736</v>
      </c>
      <c r="I74" s="26">
        <v>50040</v>
      </c>
      <c r="J74" s="16" t="str">
        <f t="shared" si="34"/>
        <v>Charrua 220</v>
      </c>
      <c r="K74" s="44">
        <f t="shared" si="35"/>
        <v>0</v>
      </c>
      <c r="L74" s="44">
        <f t="shared" si="36"/>
        <v>50.875999999999998</v>
      </c>
      <c r="M74" s="56">
        <f t="shared" si="37"/>
        <v>0</v>
      </c>
      <c r="N74" s="56">
        <f t="shared" si="38"/>
        <v>142.28273300999999</v>
      </c>
      <c r="O74" s="45">
        <f t="shared" si="39"/>
        <v>7238.7763246167588</v>
      </c>
      <c r="P74" s="45">
        <f t="shared" si="40"/>
        <v>50.875999999999998</v>
      </c>
      <c r="S74" s="48">
        <f t="shared" si="41"/>
        <v>0</v>
      </c>
      <c r="T74" s="49">
        <f>+INDEX([2]Precios!$B$9:$H$28,MATCH($J74,[2]Precios!$B$9:$B$28,0),6)</f>
        <v>50.875999999999998</v>
      </c>
      <c r="U74" s="48">
        <v>0</v>
      </c>
      <c r="V74" s="48">
        <f>('[9]Resumen Index'!$F$27)/1000</f>
        <v>142.28273300999999</v>
      </c>
      <c r="W74" s="48">
        <v>0</v>
      </c>
      <c r="X74" s="49">
        <f t="shared" ref="X74:X79" si="44">+T74*V74</f>
        <v>7238.7763246167588</v>
      </c>
      <c r="Y74" s="48">
        <v>0</v>
      </c>
      <c r="Z74" s="48">
        <f t="shared" si="42"/>
        <v>7238.7763246167588</v>
      </c>
      <c r="AA74" s="48">
        <f t="shared" si="43"/>
        <v>50.875999999999998</v>
      </c>
      <c r="AD74" s="44">
        <f>+INDEX([2]Precios!$B$9:$H$28,MATCH($J74,[2]Precios!$B$9:$B$28,0),7)</f>
        <v>5282.6574000000001</v>
      </c>
      <c r="AE74" s="44">
        <f>+INDEX([2]Precios!$B$9:$H$28,MATCH($J74,[2]Precios!$B$9:$B$28,0),6)</f>
        <v>50.875999999999998</v>
      </c>
      <c r="AF74" s="68">
        <f t="shared" si="20"/>
        <v>0</v>
      </c>
      <c r="AG74" s="68">
        <f t="shared" si="21"/>
        <v>142.28273300999999</v>
      </c>
      <c r="AH74" s="68">
        <f t="shared" si="22"/>
        <v>0</v>
      </c>
      <c r="AI74" s="68">
        <f t="shared" si="23"/>
        <v>7238.7763246167588</v>
      </c>
      <c r="AJ74" s="68"/>
      <c r="AK74" s="69">
        <f t="shared" si="24"/>
        <v>7238.7763246167588</v>
      </c>
      <c r="AL74" s="69">
        <f t="shared" si="25"/>
        <v>50.875999999999998</v>
      </c>
      <c r="AO74" s="44">
        <f t="shared" si="26"/>
        <v>-5282.6574000000001</v>
      </c>
      <c r="AP74" s="44">
        <f t="shared" si="27"/>
        <v>0</v>
      </c>
      <c r="AQ74" s="44">
        <f t="shared" si="28"/>
        <v>0</v>
      </c>
      <c r="AR74" s="44">
        <f t="shared" si="29"/>
        <v>0</v>
      </c>
      <c r="AS74" s="44">
        <f t="shared" si="30"/>
        <v>0</v>
      </c>
      <c r="AT74" s="44">
        <f t="shared" si="31"/>
        <v>0</v>
      </c>
      <c r="AU74" s="61">
        <f t="shared" si="32"/>
        <v>0</v>
      </c>
      <c r="AV74" s="44">
        <f t="shared" si="33"/>
        <v>0</v>
      </c>
      <c r="AY74" s="44"/>
      <c r="AZ74" s="44"/>
      <c r="BA74" s="44"/>
      <c r="BB74" s="68">
        <f>+[10]Resumen!$C$99/1000</f>
        <v>0.55891981000002122</v>
      </c>
      <c r="BC74" s="44"/>
      <c r="BD74" s="44">
        <f>+BB74*T74</f>
        <v>28.435604253561078</v>
      </c>
      <c r="BE74" s="44"/>
      <c r="BF74" s="44"/>
      <c r="BG74" s="44"/>
    </row>
    <row r="75" spans="2:59" hidden="1" x14ac:dyDescent="0.25">
      <c r="B75" s="43" t="s">
        <v>134</v>
      </c>
      <c r="C75" s="47" t="s">
        <v>19</v>
      </c>
      <c r="D75" s="47" t="s">
        <v>136</v>
      </c>
      <c r="E75" s="47">
        <v>220</v>
      </c>
      <c r="F75" s="47" t="s">
        <v>137</v>
      </c>
      <c r="G75" s="25" t="s">
        <v>153</v>
      </c>
      <c r="H75" s="26">
        <v>42736</v>
      </c>
      <c r="I75" s="26">
        <v>50040</v>
      </c>
      <c r="J75" s="16" t="str">
        <f t="shared" si="34"/>
        <v>Hualpen 220</v>
      </c>
      <c r="K75" s="44">
        <f t="shared" si="35"/>
        <v>0</v>
      </c>
      <c r="L75" s="44">
        <f t="shared" si="36"/>
        <v>50.32</v>
      </c>
      <c r="M75" s="56">
        <f t="shared" si="37"/>
        <v>0</v>
      </c>
      <c r="N75" s="56">
        <f t="shared" si="38"/>
        <v>1.3312729999999999</v>
      </c>
      <c r="O75" s="45">
        <f t="shared" si="39"/>
        <v>66.989657359999995</v>
      </c>
      <c r="P75" s="45">
        <f t="shared" si="40"/>
        <v>50.32</v>
      </c>
      <c r="S75" s="48">
        <f t="shared" si="41"/>
        <v>0</v>
      </c>
      <c r="T75" s="49">
        <f>+INDEX([2]Precios!$B$9:$H$28,MATCH($J75,[2]Precios!$B$9:$B$28,0),6)</f>
        <v>50.32</v>
      </c>
      <c r="U75" s="48">
        <v>0</v>
      </c>
      <c r="V75" s="48">
        <f>('[9]Resumen Index'!$J$27)/1000</f>
        <v>1.3312729999999999</v>
      </c>
      <c r="W75" s="48">
        <v>0</v>
      </c>
      <c r="X75" s="49">
        <f t="shared" si="44"/>
        <v>66.989657359999995</v>
      </c>
      <c r="Y75" s="48">
        <v>0</v>
      </c>
      <c r="Z75" s="48">
        <f t="shared" si="42"/>
        <v>66.989657359999995</v>
      </c>
      <c r="AA75" s="48">
        <f t="shared" si="43"/>
        <v>50.32</v>
      </c>
      <c r="AD75" s="44">
        <f>+INDEX([2]Precios!$B$9:$H$28,MATCH($J75,[2]Precios!$B$9:$B$28,0),7)</f>
        <v>5317.5688</v>
      </c>
      <c r="AE75" s="44">
        <f>+INDEX([2]Precios!$B$9:$H$28,MATCH($J75,[2]Precios!$B$9:$B$28,0),6)</f>
        <v>50.32</v>
      </c>
      <c r="AF75" s="68">
        <f t="shared" si="20"/>
        <v>0</v>
      </c>
      <c r="AG75" s="68">
        <f t="shared" si="21"/>
        <v>1.3312729999999999</v>
      </c>
      <c r="AH75" s="68">
        <f t="shared" si="22"/>
        <v>0</v>
      </c>
      <c r="AI75" s="68">
        <f t="shared" si="23"/>
        <v>66.989657359999995</v>
      </c>
      <c r="AJ75" s="68"/>
      <c r="AK75" s="69">
        <f t="shared" si="24"/>
        <v>66.989657359999995</v>
      </c>
      <c r="AL75" s="69">
        <f t="shared" si="25"/>
        <v>50.32</v>
      </c>
      <c r="AO75" s="44">
        <f t="shared" si="26"/>
        <v>-5317.5688</v>
      </c>
      <c r="AP75" s="44">
        <f t="shared" si="27"/>
        <v>0</v>
      </c>
      <c r="AQ75" s="44">
        <f t="shared" si="28"/>
        <v>0</v>
      </c>
      <c r="AR75" s="44">
        <f t="shared" si="29"/>
        <v>0</v>
      </c>
      <c r="AS75" s="44">
        <f t="shared" si="30"/>
        <v>0</v>
      </c>
      <c r="AT75" s="44">
        <f t="shared" si="31"/>
        <v>0</v>
      </c>
      <c r="AU75" s="61">
        <f t="shared" si="32"/>
        <v>0</v>
      </c>
      <c r="AV75" s="44">
        <f t="shared" si="33"/>
        <v>0</v>
      </c>
      <c r="AY75" s="44"/>
      <c r="AZ75" s="44"/>
      <c r="BA75" s="44"/>
      <c r="BB75" s="71">
        <f>+[10]Resumen!$F$99/1000</f>
        <v>5.2102400000001124E-3</v>
      </c>
      <c r="BC75" s="44"/>
      <c r="BD75" s="44">
        <f t="shared" ref="BD75:BD79" si="45">+BB75*T75</f>
        <v>0.26217927680000563</v>
      </c>
      <c r="BE75" s="44"/>
      <c r="BF75" s="44"/>
      <c r="BG75" s="44"/>
    </row>
    <row r="76" spans="2:59" hidden="1" x14ac:dyDescent="0.25">
      <c r="B76" s="43" t="s">
        <v>134</v>
      </c>
      <c r="C76" s="47" t="s">
        <v>19</v>
      </c>
      <c r="D76" s="47" t="s">
        <v>15</v>
      </c>
      <c r="E76" s="47">
        <v>220</v>
      </c>
      <c r="F76" s="47" t="s">
        <v>137</v>
      </c>
      <c r="G76" s="25" t="s">
        <v>154</v>
      </c>
      <c r="H76" s="26">
        <v>42736</v>
      </c>
      <c r="I76" s="26">
        <v>50040</v>
      </c>
      <c r="J76" s="16" t="str">
        <f t="shared" si="34"/>
        <v>Charrua 220</v>
      </c>
      <c r="K76" s="44">
        <f t="shared" si="35"/>
        <v>0</v>
      </c>
      <c r="L76" s="44">
        <f t="shared" si="36"/>
        <v>50.875999999999998</v>
      </c>
      <c r="M76" s="56">
        <f t="shared" si="37"/>
        <v>0</v>
      </c>
      <c r="N76" s="56">
        <f t="shared" si="38"/>
        <v>188.74028461999998</v>
      </c>
      <c r="O76" s="45">
        <f t="shared" si="39"/>
        <v>9602.3507203271183</v>
      </c>
      <c r="P76" s="45">
        <f t="shared" si="40"/>
        <v>50.875999999999998</v>
      </c>
      <c r="S76" s="48">
        <f t="shared" si="41"/>
        <v>0</v>
      </c>
      <c r="T76" s="49">
        <f>+INDEX([2]Precios!$B$9:$H$28,MATCH($J76,[2]Precios!$B$9:$B$28,0),6)</f>
        <v>50.875999999999998</v>
      </c>
      <c r="U76" s="48">
        <v>0</v>
      </c>
      <c r="V76" s="48">
        <f>('[9]Resumen Index'!$F$31)/1000</f>
        <v>188.74028461999998</v>
      </c>
      <c r="W76" s="48">
        <v>0</v>
      </c>
      <c r="X76" s="49">
        <f t="shared" si="44"/>
        <v>9602.3507203271183</v>
      </c>
      <c r="Y76" s="48">
        <v>0</v>
      </c>
      <c r="Z76" s="48">
        <f t="shared" si="42"/>
        <v>9602.3507203271183</v>
      </c>
      <c r="AA76" s="48">
        <f t="shared" si="43"/>
        <v>50.875999999999998</v>
      </c>
      <c r="AD76" s="44">
        <f>+INDEX([2]Precios!$B$9:$H$28,MATCH($J76,[2]Precios!$B$9:$B$28,0),7)</f>
        <v>5282.6574000000001</v>
      </c>
      <c r="AE76" s="44">
        <f>+INDEX([2]Precios!$B$9:$H$28,MATCH($J76,[2]Precios!$B$9:$B$28,0),6)</f>
        <v>50.875999999999998</v>
      </c>
      <c r="AF76" s="68">
        <f t="shared" si="20"/>
        <v>0</v>
      </c>
      <c r="AG76" s="68">
        <f t="shared" si="21"/>
        <v>188.74028461999998</v>
      </c>
      <c r="AH76" s="68">
        <f t="shared" si="22"/>
        <v>0</v>
      </c>
      <c r="AI76" s="68">
        <f t="shared" si="23"/>
        <v>9602.3507203271183</v>
      </c>
      <c r="AJ76" s="68"/>
      <c r="AK76" s="69">
        <f t="shared" si="24"/>
        <v>9602.3507203271183</v>
      </c>
      <c r="AL76" s="69">
        <f t="shared" si="25"/>
        <v>50.875999999999998</v>
      </c>
      <c r="AO76" s="44">
        <f t="shared" si="26"/>
        <v>-5282.6574000000001</v>
      </c>
      <c r="AP76" s="44">
        <f t="shared" si="27"/>
        <v>0</v>
      </c>
      <c r="AQ76" s="44">
        <f t="shared" si="28"/>
        <v>0</v>
      </c>
      <c r="AR76" s="44">
        <f t="shared" si="29"/>
        <v>0</v>
      </c>
      <c r="AS76" s="44">
        <f t="shared" si="30"/>
        <v>0</v>
      </c>
      <c r="AT76" s="44">
        <f t="shared" si="31"/>
        <v>0</v>
      </c>
      <c r="AU76" s="61">
        <f t="shared" si="32"/>
        <v>0</v>
      </c>
      <c r="AV76" s="44">
        <f t="shared" si="33"/>
        <v>0</v>
      </c>
      <c r="AY76" s="44"/>
      <c r="AZ76" s="44"/>
      <c r="BA76" s="44"/>
      <c r="BB76" s="68">
        <f>+[10]Resumen!$D$103/1000</f>
        <v>0.77415664000000106</v>
      </c>
      <c r="BC76" s="44"/>
      <c r="BD76" s="44">
        <f t="shared" si="45"/>
        <v>39.385993216640053</v>
      </c>
      <c r="BE76" s="44"/>
      <c r="BF76" s="44"/>
      <c r="BG76" s="44"/>
    </row>
    <row r="77" spans="2:59" hidden="1" x14ac:dyDescent="0.25">
      <c r="B77" s="43" t="s">
        <v>134</v>
      </c>
      <c r="C77" s="47" t="s">
        <v>19</v>
      </c>
      <c r="D77" s="47" t="s">
        <v>136</v>
      </c>
      <c r="E77" s="47">
        <v>220</v>
      </c>
      <c r="F77" s="47" t="s">
        <v>137</v>
      </c>
      <c r="G77" s="25" t="s">
        <v>154</v>
      </c>
      <c r="H77" s="26">
        <v>42736</v>
      </c>
      <c r="I77" s="26">
        <v>50040</v>
      </c>
      <c r="J77" s="16" t="str">
        <f t="shared" si="34"/>
        <v>Hualpen 220</v>
      </c>
      <c r="K77" s="44">
        <f t="shared" si="35"/>
        <v>0</v>
      </c>
      <c r="L77" s="44">
        <f t="shared" si="36"/>
        <v>50.32</v>
      </c>
      <c r="M77" s="56">
        <f t="shared" si="37"/>
        <v>0</v>
      </c>
      <c r="N77" s="56">
        <f t="shared" si="38"/>
        <v>1.78321273</v>
      </c>
      <c r="O77" s="45">
        <f t="shared" si="39"/>
        <v>89.731264573600001</v>
      </c>
      <c r="P77" s="45">
        <f t="shared" si="40"/>
        <v>50.32</v>
      </c>
      <c r="S77" s="48">
        <f t="shared" si="41"/>
        <v>0</v>
      </c>
      <c r="T77" s="49">
        <f>+INDEX([2]Precios!$B$9:$H$28,MATCH($J77,[2]Precios!$B$9:$B$28,0),6)</f>
        <v>50.32</v>
      </c>
      <c r="U77" s="48">
        <v>0</v>
      </c>
      <c r="V77" s="48">
        <f>('[9]Resumen Index'!$J$31)/1000</f>
        <v>1.78321273</v>
      </c>
      <c r="W77" s="48">
        <v>0</v>
      </c>
      <c r="X77" s="49">
        <f t="shared" si="44"/>
        <v>89.731264573600001</v>
      </c>
      <c r="Y77" s="48">
        <v>0</v>
      </c>
      <c r="Z77" s="48">
        <f t="shared" si="42"/>
        <v>89.731264573600001</v>
      </c>
      <c r="AA77" s="48">
        <f t="shared" si="43"/>
        <v>50.32</v>
      </c>
      <c r="AD77" s="44">
        <f>+INDEX([2]Precios!$B$9:$H$28,MATCH($J77,[2]Precios!$B$9:$B$28,0),7)</f>
        <v>5317.5688</v>
      </c>
      <c r="AE77" s="44">
        <f>+INDEX([2]Precios!$B$9:$H$28,MATCH($J77,[2]Precios!$B$9:$B$28,0),6)</f>
        <v>50.32</v>
      </c>
      <c r="AF77" s="68">
        <f t="shared" ref="AF77:AF124" si="46">+M77</f>
        <v>0</v>
      </c>
      <c r="AG77" s="68">
        <f t="shared" ref="AG77:AG124" si="47">+N77</f>
        <v>1.78321273</v>
      </c>
      <c r="AH77" s="68">
        <f t="shared" ref="AH77:AH124" si="48">+AD77*AF77</f>
        <v>0</v>
      </c>
      <c r="AI77" s="68">
        <f t="shared" ref="AI77:AI124" si="49">+AE77*AG77</f>
        <v>89.731264573600001</v>
      </c>
      <c r="AJ77" s="68"/>
      <c r="AK77" s="69">
        <f t="shared" ref="AK77:AK124" si="50">+AD77*AF77+AE77*AG77</f>
        <v>89.731264573600001</v>
      </c>
      <c r="AL77" s="69">
        <f t="shared" ref="AL77:AL124" si="51">+AK77/AG77</f>
        <v>50.32</v>
      </c>
      <c r="AO77" s="44">
        <f t="shared" si="26"/>
        <v>-5317.5688</v>
      </c>
      <c r="AP77" s="44">
        <f t="shared" si="27"/>
        <v>0</v>
      </c>
      <c r="AQ77" s="44">
        <f t="shared" si="28"/>
        <v>0</v>
      </c>
      <c r="AR77" s="44">
        <f t="shared" si="29"/>
        <v>0</v>
      </c>
      <c r="AS77" s="44">
        <f t="shared" si="30"/>
        <v>0</v>
      </c>
      <c r="AT77" s="44">
        <f t="shared" si="31"/>
        <v>0</v>
      </c>
      <c r="AU77" s="61">
        <f t="shared" si="32"/>
        <v>0</v>
      </c>
      <c r="AV77" s="44">
        <f t="shared" si="33"/>
        <v>0</v>
      </c>
      <c r="AY77" s="44"/>
      <c r="AZ77" s="44"/>
      <c r="BA77" s="44"/>
      <c r="BB77" s="71">
        <f>+[10]Resumen!$G$103/1000</f>
        <v>7.4975300000000968E-3</v>
      </c>
      <c r="BC77" s="44"/>
      <c r="BD77" s="44">
        <f t="shared" si="45"/>
        <v>0.37727570960000489</v>
      </c>
      <c r="BE77" s="44"/>
      <c r="BF77" s="44"/>
      <c r="BG77" s="44"/>
    </row>
    <row r="78" spans="2:59" hidden="1" x14ac:dyDescent="0.25">
      <c r="B78" s="43" t="s">
        <v>134</v>
      </c>
      <c r="C78" s="47" t="s">
        <v>19</v>
      </c>
      <c r="D78" s="47" t="s">
        <v>15</v>
      </c>
      <c r="E78" s="47">
        <v>220</v>
      </c>
      <c r="F78" s="47" t="s">
        <v>137</v>
      </c>
      <c r="G78" s="25" t="s">
        <v>155</v>
      </c>
      <c r="H78" s="26">
        <v>42736</v>
      </c>
      <c r="I78" s="26">
        <v>50040</v>
      </c>
      <c r="J78" s="16" t="str">
        <f t="shared" si="34"/>
        <v>Charrua 220</v>
      </c>
      <c r="K78" s="44">
        <f t="shared" si="35"/>
        <v>5282.6574000000001</v>
      </c>
      <c r="L78" s="44">
        <f t="shared" si="36"/>
        <v>50.875999999999998</v>
      </c>
      <c r="M78" s="56">
        <f t="shared" si="37"/>
        <v>0.86797497162564086</v>
      </c>
      <c r="N78" s="56">
        <f t="shared" si="38"/>
        <v>105.31754958</v>
      </c>
      <c r="O78" s="45">
        <f t="shared" si="39"/>
        <v>9943.350059305063</v>
      </c>
      <c r="P78" s="45">
        <f t="shared" si="40"/>
        <v>94.413040361825168</v>
      </c>
      <c r="S78" s="87">
        <f>+INDEX([2]Precios!$B$9:$H$28,MATCH($J78,[2]Precios!$B$9:$B$25,0),7)</f>
        <v>5282.6574000000001</v>
      </c>
      <c r="T78" s="49">
        <f>+INDEX([2]Precios!$B$9:$H$28,MATCH($J78,[2]Precios!$B$9:$B$28,0),6)</f>
        <v>50.875999999999998</v>
      </c>
      <c r="U78" s="48">
        <f>'[9]Resumen Index'!K33/1000</f>
        <v>0.86797497162564086</v>
      </c>
      <c r="V78" s="48">
        <f>('[9]Resumen Index'!$F$33)/1000</f>
        <v>105.31754958</v>
      </c>
      <c r="W78" s="49">
        <f>+S78*U78</f>
        <v>4585.2144068729822</v>
      </c>
      <c r="X78" s="49">
        <f t="shared" si="44"/>
        <v>5358.13565243208</v>
      </c>
      <c r="Y78" s="48">
        <v>0</v>
      </c>
      <c r="Z78" s="48">
        <f t="shared" si="42"/>
        <v>9943.350059305063</v>
      </c>
      <c r="AA78" s="48">
        <f t="shared" si="43"/>
        <v>94.413040361825168</v>
      </c>
      <c r="AD78" s="44">
        <f>+INDEX([2]Precios!$B$9:$H$28,MATCH($J78,[2]Precios!$B$9:$B$28,0),7)</f>
        <v>5282.6574000000001</v>
      </c>
      <c r="AE78" s="44">
        <f>+INDEX([2]Precios!$B$9:$H$28,MATCH($J78,[2]Precios!$B$9:$B$28,0),6)</f>
        <v>50.875999999999998</v>
      </c>
      <c r="AF78" s="68">
        <f t="shared" si="46"/>
        <v>0.86797497162564086</v>
      </c>
      <c r="AG78" s="68">
        <f t="shared" si="47"/>
        <v>105.31754958</v>
      </c>
      <c r="AH78" s="68">
        <f t="shared" si="48"/>
        <v>4585.2144068729822</v>
      </c>
      <c r="AI78" s="68">
        <f t="shared" si="49"/>
        <v>5358.13565243208</v>
      </c>
      <c r="AJ78" s="68"/>
      <c r="AK78" s="69">
        <f t="shared" si="50"/>
        <v>9943.350059305063</v>
      </c>
      <c r="AL78" s="69">
        <f t="shared" si="51"/>
        <v>94.413040361825168</v>
      </c>
      <c r="AO78" s="44">
        <f t="shared" ref="AO78:AO124" si="52">+K78-AD78</f>
        <v>0</v>
      </c>
      <c r="AP78" s="44">
        <f t="shared" ref="AP78:AP124" si="53">+L78-AE78</f>
        <v>0</v>
      </c>
      <c r="AQ78" s="44">
        <f t="shared" ref="AQ78:AQ124" si="54">+M78-AF78</f>
        <v>0</v>
      </c>
      <c r="AR78" s="44">
        <f t="shared" ref="AR78:AR124" si="55">+N78-AG78</f>
        <v>0</v>
      </c>
      <c r="AS78" s="44">
        <f t="shared" ref="AS78:AS124" si="56">-K78*M78+AD78*AF78</f>
        <v>0</v>
      </c>
      <c r="AT78" s="44">
        <f t="shared" ref="AT78:AT124" si="57">-L78*N78+AE78*AG78</f>
        <v>0</v>
      </c>
      <c r="AU78" s="61">
        <f t="shared" ref="AU78:AU124" si="58">-O78+AK78</f>
        <v>0</v>
      </c>
      <c r="AV78" s="44">
        <f t="shared" ref="AV78:AV124" si="59">+P78-AL78</f>
        <v>0</v>
      </c>
      <c r="AY78" s="44"/>
      <c r="AZ78" s="44"/>
      <c r="BA78" s="44">
        <f>+[10]Resumen!$I$105/1000+[10]Resumen!$J$105/1000</f>
        <v>2.1167983405976673E-3</v>
      </c>
      <c r="BB78" s="68">
        <f>+[10]Resumen!$E$105/1000</f>
        <v>0.45160451000000468</v>
      </c>
      <c r="BC78" s="44">
        <f>+BA78*S78</f>
        <v>11.182320418265988</v>
      </c>
      <c r="BD78" s="44">
        <f t="shared" si="45"/>
        <v>22.975831050760238</v>
      </c>
      <c r="BE78" s="44"/>
      <c r="BF78" s="44"/>
      <c r="BG78" s="44"/>
    </row>
    <row r="79" spans="2:59" hidden="1" x14ac:dyDescent="0.25">
      <c r="B79" s="43" t="s">
        <v>134</v>
      </c>
      <c r="C79" s="47" t="s">
        <v>19</v>
      </c>
      <c r="D79" s="47" t="s">
        <v>136</v>
      </c>
      <c r="E79" s="47">
        <v>220</v>
      </c>
      <c r="F79" s="47" t="s">
        <v>137</v>
      </c>
      <c r="G79" s="25" t="s">
        <v>155</v>
      </c>
      <c r="H79" s="26">
        <v>42736</v>
      </c>
      <c r="I79" s="26">
        <v>50040</v>
      </c>
      <c r="J79" s="16" t="str">
        <f t="shared" si="34"/>
        <v>Hualpen 220</v>
      </c>
      <c r="K79" s="44">
        <f t="shared" si="35"/>
        <v>5317.5688</v>
      </c>
      <c r="L79" s="44">
        <f t="shared" si="36"/>
        <v>50.32</v>
      </c>
      <c r="M79" s="56">
        <f t="shared" si="37"/>
        <v>7.7405569756096217E-3</v>
      </c>
      <c r="N79" s="56">
        <f t="shared" si="38"/>
        <v>0.93921659000000002</v>
      </c>
      <c r="O79" s="45">
        <f t="shared" si="39"/>
        <v>88.422323076924087</v>
      </c>
      <c r="P79" s="45">
        <f t="shared" si="40"/>
        <v>94.144762793131761</v>
      </c>
      <c r="S79" s="87">
        <f>+INDEX([2]Precios!$B$9:$H$28,MATCH($J79,[2]Precios!$B$9:$B$25,0),7)</f>
        <v>5317.5688</v>
      </c>
      <c r="T79" s="49">
        <f>+INDEX([2]Precios!$B$9:$H$28,MATCH($J79,[2]Precios!$B$9:$B$28,0),6)</f>
        <v>50.32</v>
      </c>
      <c r="U79" s="48">
        <f>'[9]Resumen Index'!L33/1000</f>
        <v>7.7405569756096217E-3</v>
      </c>
      <c r="V79" s="48">
        <f>('[9]Resumen Index'!$J$33)/1000</f>
        <v>0.93921659000000002</v>
      </c>
      <c r="W79" s="49">
        <f>+S79*U79</f>
        <v>41.160944268124084</v>
      </c>
      <c r="X79" s="49">
        <f t="shared" si="44"/>
        <v>47.261378808800004</v>
      </c>
      <c r="Y79" s="48">
        <v>0</v>
      </c>
      <c r="Z79" s="48">
        <f t="shared" si="42"/>
        <v>88.422323076924087</v>
      </c>
      <c r="AA79" s="48">
        <f t="shared" si="43"/>
        <v>94.144762793131761</v>
      </c>
      <c r="AD79" s="44">
        <f>+INDEX([2]Precios!$B$9:$H$28,MATCH($J79,[2]Precios!$B$9:$B$28,0),7)</f>
        <v>5317.5688</v>
      </c>
      <c r="AE79" s="44">
        <f>+INDEX([2]Precios!$B$9:$H$28,MATCH($J79,[2]Precios!$B$9:$B$28,0),6)</f>
        <v>50.32</v>
      </c>
      <c r="AF79" s="68">
        <f t="shared" si="46"/>
        <v>7.7405569756096217E-3</v>
      </c>
      <c r="AG79" s="68">
        <f t="shared" si="47"/>
        <v>0.93921659000000002</v>
      </c>
      <c r="AH79" s="68">
        <f t="shared" si="48"/>
        <v>41.160944268124084</v>
      </c>
      <c r="AI79" s="68">
        <f t="shared" si="49"/>
        <v>47.261378808800004</v>
      </c>
      <c r="AJ79" s="68"/>
      <c r="AK79" s="69">
        <f t="shared" si="50"/>
        <v>88.422323076924087</v>
      </c>
      <c r="AL79" s="69">
        <f t="shared" si="51"/>
        <v>94.144762793131761</v>
      </c>
      <c r="AO79" s="44">
        <f t="shared" si="52"/>
        <v>0</v>
      </c>
      <c r="AP79" s="44">
        <f t="shared" si="53"/>
        <v>0</v>
      </c>
      <c r="AQ79" s="44">
        <f t="shared" si="54"/>
        <v>0</v>
      </c>
      <c r="AR79" s="44">
        <f t="shared" si="55"/>
        <v>0</v>
      </c>
      <c r="AS79" s="44">
        <f t="shared" si="56"/>
        <v>0</v>
      </c>
      <c r="AT79" s="44">
        <f t="shared" si="57"/>
        <v>0</v>
      </c>
      <c r="AU79" s="61">
        <f t="shared" si="58"/>
        <v>0</v>
      </c>
      <c r="AV79" s="44">
        <f t="shared" si="59"/>
        <v>0</v>
      </c>
      <c r="AY79" s="44"/>
      <c r="AZ79" s="44"/>
      <c r="BA79" s="44"/>
      <c r="BB79" s="68">
        <f>+[10]Resumen!$H$105/1000</f>
        <v>4.1602600000001074E-3</v>
      </c>
      <c r="BC79" s="44"/>
      <c r="BD79" s="44">
        <f t="shared" si="45"/>
        <v>0.20934428320000539</v>
      </c>
      <c r="BE79" s="44"/>
      <c r="BF79" s="44"/>
      <c r="BG79" s="44"/>
    </row>
    <row r="80" spans="2:59" hidden="1" x14ac:dyDescent="0.25">
      <c r="B80" s="43" t="s">
        <v>134</v>
      </c>
      <c r="C80" s="89" t="s">
        <v>151</v>
      </c>
      <c r="D80" s="47" t="s">
        <v>14</v>
      </c>
      <c r="E80" s="47">
        <v>220</v>
      </c>
      <c r="F80" s="47" t="s">
        <v>137</v>
      </c>
      <c r="G80" s="25" t="s">
        <v>153</v>
      </c>
      <c r="H80" s="26">
        <v>42736</v>
      </c>
      <c r="I80" s="26">
        <v>50040</v>
      </c>
      <c r="J80" s="16" t="str">
        <f t="shared" si="34"/>
        <v>Ancoa 220</v>
      </c>
      <c r="K80" s="44">
        <f t="shared" si="35"/>
        <v>0</v>
      </c>
      <c r="L80" s="44">
        <f t="shared" si="36"/>
        <v>53.088000000000008</v>
      </c>
      <c r="M80" s="56">
        <f t="shared" si="37"/>
        <v>0</v>
      </c>
      <c r="N80" s="56">
        <f t="shared" si="38"/>
        <v>54.450512387291035</v>
      </c>
      <c r="O80" s="45">
        <f t="shared" si="39"/>
        <v>2890.6688016165067</v>
      </c>
      <c r="P80" s="45">
        <f t="shared" si="40"/>
        <v>53.088000000000008</v>
      </c>
      <c r="S80" s="48">
        <f t="shared" si="41"/>
        <v>0</v>
      </c>
      <c r="T80" s="48">
        <f t="shared" ref="T80:T97" si="60">+IFERROR(X80/V80,0)</f>
        <v>53.088000000000008</v>
      </c>
      <c r="U80" s="48">
        <f>([11]R2!H467)/1000</f>
        <v>0</v>
      </c>
      <c r="V80" s="48">
        <f>([11]R2!G467)/1000</f>
        <v>54.450512387291035</v>
      </c>
      <c r="W80" s="48">
        <f>([11]R2!J467)/1000</f>
        <v>0</v>
      </c>
      <c r="X80" s="48">
        <f>([11]R2!I467)/1000</f>
        <v>2890.6688016165067</v>
      </c>
      <c r="Y80" s="48">
        <f>([11]R2!K467)/1000</f>
        <v>0</v>
      </c>
      <c r="Z80" s="48">
        <f t="shared" si="42"/>
        <v>2890.6688016165067</v>
      </c>
      <c r="AA80" s="48">
        <f t="shared" si="43"/>
        <v>53.088000000000008</v>
      </c>
      <c r="AD80" s="44">
        <f>+INDEX([2]Precios!$B$9:$H$28,MATCH($J80,[2]Precios!$B$9:$B$28,0),7)</f>
        <v>5478.6370999999999</v>
      </c>
      <c r="AE80" s="44">
        <f>+INDEX([2]Precios!$B$9:$H$28,MATCH($J80,[2]Precios!$B$9:$B$28,0),6)</f>
        <v>53.088000000000001</v>
      </c>
      <c r="AF80" s="68">
        <f t="shared" si="46"/>
        <v>0</v>
      </c>
      <c r="AG80" s="68">
        <f t="shared" si="47"/>
        <v>54.450512387291035</v>
      </c>
      <c r="AH80" s="68">
        <f t="shared" si="48"/>
        <v>0</v>
      </c>
      <c r="AI80" s="68">
        <f t="shared" si="49"/>
        <v>2890.6688016165067</v>
      </c>
      <c r="AJ80" s="68"/>
      <c r="AK80" s="69">
        <f t="shared" si="50"/>
        <v>2890.6688016165067</v>
      </c>
      <c r="AL80" s="69">
        <f t="shared" si="51"/>
        <v>53.088000000000008</v>
      </c>
      <c r="AO80" s="44">
        <f t="shared" si="52"/>
        <v>-5478.6370999999999</v>
      </c>
      <c r="AP80" s="44">
        <f t="shared" si="53"/>
        <v>0</v>
      </c>
      <c r="AQ80" s="44">
        <f t="shared" si="54"/>
        <v>0</v>
      </c>
      <c r="AR80" s="44">
        <f t="shared" si="55"/>
        <v>0</v>
      </c>
      <c r="AS80" s="44">
        <f t="shared" si="56"/>
        <v>0</v>
      </c>
      <c r="AT80" s="44">
        <f t="shared" si="57"/>
        <v>0</v>
      </c>
      <c r="AU80" s="61">
        <f t="shared" si="58"/>
        <v>0</v>
      </c>
      <c r="AV80" s="44">
        <f t="shared" si="59"/>
        <v>0</v>
      </c>
      <c r="AY80" s="44"/>
      <c r="AZ80" s="44"/>
      <c r="BA80" s="44"/>
      <c r="BB80" s="44"/>
      <c r="BC80" s="44"/>
      <c r="BD80" s="44">
        <f>+SUM('[12]RESUMEN COMPRAS'!$O$209,'[12]RESUMEN COMPRAS'!$O$211,'[12]RESUMEN COMPRAS'!$O$215)/1000</f>
        <v>-57.679536035131662</v>
      </c>
      <c r="BE80" s="44"/>
      <c r="BF80" s="44"/>
      <c r="BG80" s="44"/>
    </row>
    <row r="81" spans="2:59" hidden="1" x14ac:dyDescent="0.25">
      <c r="B81" s="43" t="s">
        <v>134</v>
      </c>
      <c r="C81" s="89" t="s">
        <v>151</v>
      </c>
      <c r="D81" s="47" t="s">
        <v>15</v>
      </c>
      <c r="E81" s="47">
        <v>220</v>
      </c>
      <c r="F81" s="47" t="s">
        <v>137</v>
      </c>
      <c r="G81" s="25" t="s">
        <v>153</v>
      </c>
      <c r="H81" s="26">
        <v>42736</v>
      </c>
      <c r="I81" s="26">
        <v>50040</v>
      </c>
      <c r="J81" s="16" t="str">
        <f t="shared" si="34"/>
        <v>Charrua 220</v>
      </c>
      <c r="K81" s="44">
        <f t="shared" si="35"/>
        <v>0</v>
      </c>
      <c r="L81" s="44">
        <f t="shared" si="36"/>
        <v>50.875999999999998</v>
      </c>
      <c r="M81" s="56">
        <f t="shared" si="37"/>
        <v>0</v>
      </c>
      <c r="N81" s="56">
        <f t="shared" si="38"/>
        <v>40.133235120843722</v>
      </c>
      <c r="O81" s="45">
        <f t="shared" si="39"/>
        <v>2041.8184700080451</v>
      </c>
      <c r="P81" s="45">
        <f t="shared" si="40"/>
        <v>50.875999999999998</v>
      </c>
      <c r="S81" s="48">
        <f t="shared" si="41"/>
        <v>0</v>
      </c>
      <c r="T81" s="48">
        <f t="shared" si="60"/>
        <v>50.875999999999998</v>
      </c>
      <c r="U81" s="48">
        <f>([11]R2!H468)/1000</f>
        <v>0</v>
      </c>
      <c r="V81" s="48">
        <f>([11]R2!G468)/1000</f>
        <v>40.133235120843722</v>
      </c>
      <c r="W81" s="48">
        <f>([11]R2!J468)/1000</f>
        <v>0</v>
      </c>
      <c r="X81" s="48">
        <f>([11]R2!I468)/1000</f>
        <v>2041.8184700080451</v>
      </c>
      <c r="Y81" s="48">
        <f>([11]R2!K468)/1000</f>
        <v>0</v>
      </c>
      <c r="Z81" s="48">
        <f t="shared" si="42"/>
        <v>2041.8184700080451</v>
      </c>
      <c r="AA81" s="48">
        <f t="shared" si="43"/>
        <v>50.875999999999998</v>
      </c>
      <c r="AD81" s="44">
        <f>+INDEX([2]Precios!$B$9:$H$28,MATCH($J81,[2]Precios!$B$9:$B$28,0),7)</f>
        <v>5282.6574000000001</v>
      </c>
      <c r="AE81" s="44">
        <f>+INDEX([2]Precios!$B$9:$H$28,MATCH($J81,[2]Precios!$B$9:$B$28,0),6)</f>
        <v>50.875999999999998</v>
      </c>
      <c r="AF81" s="68">
        <f t="shared" si="46"/>
        <v>0</v>
      </c>
      <c r="AG81" s="68">
        <f t="shared" si="47"/>
        <v>40.133235120843722</v>
      </c>
      <c r="AH81" s="68">
        <f t="shared" si="48"/>
        <v>0</v>
      </c>
      <c r="AI81" s="68">
        <f t="shared" si="49"/>
        <v>2041.8184700080451</v>
      </c>
      <c r="AJ81" s="68"/>
      <c r="AK81" s="69">
        <f t="shared" si="50"/>
        <v>2041.8184700080451</v>
      </c>
      <c r="AL81" s="69">
        <f t="shared" si="51"/>
        <v>50.875999999999998</v>
      </c>
      <c r="AO81" s="44">
        <f t="shared" si="52"/>
        <v>-5282.6574000000001</v>
      </c>
      <c r="AP81" s="44">
        <f t="shared" si="53"/>
        <v>0</v>
      </c>
      <c r="AQ81" s="44">
        <f t="shared" si="54"/>
        <v>0</v>
      </c>
      <c r="AR81" s="44">
        <f t="shared" si="55"/>
        <v>0</v>
      </c>
      <c r="AS81" s="44">
        <f t="shared" si="56"/>
        <v>0</v>
      </c>
      <c r="AT81" s="44">
        <f t="shared" si="57"/>
        <v>0</v>
      </c>
      <c r="AU81" s="61">
        <f t="shared" si="58"/>
        <v>0</v>
      </c>
      <c r="AV81" s="44">
        <f t="shared" si="59"/>
        <v>0</v>
      </c>
      <c r="AY81" s="44"/>
      <c r="AZ81" s="44"/>
      <c r="BA81" s="44"/>
      <c r="BB81" s="44"/>
      <c r="BC81" s="44"/>
      <c r="BD81" s="44"/>
      <c r="BE81" s="44"/>
      <c r="BF81" s="44"/>
      <c r="BG81" s="44"/>
    </row>
    <row r="82" spans="2:59" hidden="1" x14ac:dyDescent="0.25">
      <c r="B82" s="43" t="s">
        <v>134</v>
      </c>
      <c r="C82" s="89" t="s">
        <v>151</v>
      </c>
      <c r="D82" s="47" t="s">
        <v>84</v>
      </c>
      <c r="E82" s="47">
        <v>220</v>
      </c>
      <c r="F82" s="47" t="s">
        <v>137</v>
      </c>
      <c r="G82" s="25" t="s">
        <v>153</v>
      </c>
      <c r="H82" s="26">
        <v>42736</v>
      </c>
      <c r="I82" s="26">
        <v>50040</v>
      </c>
      <c r="J82" s="16" t="str">
        <f t="shared" si="34"/>
        <v>Itahue 220</v>
      </c>
      <c r="K82" s="44">
        <f t="shared" si="35"/>
        <v>0</v>
      </c>
      <c r="L82" s="44">
        <f t="shared" si="36"/>
        <v>53.531999999999996</v>
      </c>
      <c r="M82" s="56">
        <f t="shared" si="37"/>
        <v>0</v>
      </c>
      <c r="N82" s="56">
        <f t="shared" ref="N82:N95" si="61">+V82</f>
        <v>21.300383212327414</v>
      </c>
      <c r="O82" s="45">
        <f t="shared" si="39"/>
        <v>1140.252114122311</v>
      </c>
      <c r="P82" s="45">
        <f t="shared" si="40"/>
        <v>53.531999999999996</v>
      </c>
      <c r="S82" s="48">
        <f t="shared" si="41"/>
        <v>0</v>
      </c>
      <c r="T82" s="48">
        <f t="shared" si="60"/>
        <v>53.531999999999996</v>
      </c>
      <c r="U82" s="48">
        <f>([11]R2!H469)/1000</f>
        <v>0</v>
      </c>
      <c r="V82" s="48">
        <f>([11]R2!G469)/1000</f>
        <v>21.300383212327414</v>
      </c>
      <c r="W82" s="48">
        <f>([11]R2!J469)/1000</f>
        <v>0</v>
      </c>
      <c r="X82" s="48">
        <f>([11]R2!I469)/1000</f>
        <v>1140.252114122311</v>
      </c>
      <c r="Y82" s="48">
        <f>([11]R2!K469)/1000</f>
        <v>1.686960382307957E-2</v>
      </c>
      <c r="Z82" s="48">
        <f t="shared" si="42"/>
        <v>1140.252114122311</v>
      </c>
      <c r="AA82" s="48">
        <f t="shared" si="43"/>
        <v>53.531999999999996</v>
      </c>
      <c r="AD82" s="44">
        <f>+INDEX([2]Precios!$B$9:$H$28,MATCH($J82,[2]Precios!$B$9:$B$28,0),7)</f>
        <v>5581.7182000000003</v>
      </c>
      <c r="AE82" s="44">
        <f>+INDEX([2]Precios!$B$9:$H$28,MATCH($J82,[2]Precios!$B$9:$B$28,0),6)</f>
        <v>53.531999999999996</v>
      </c>
      <c r="AF82" s="68">
        <f t="shared" si="46"/>
        <v>0</v>
      </c>
      <c r="AG82" s="68">
        <f t="shared" si="47"/>
        <v>21.300383212327414</v>
      </c>
      <c r="AH82" s="68">
        <f t="shared" si="48"/>
        <v>0</v>
      </c>
      <c r="AI82" s="68">
        <f t="shared" si="49"/>
        <v>1140.252114122311</v>
      </c>
      <c r="AJ82" s="68"/>
      <c r="AK82" s="69">
        <f t="shared" si="50"/>
        <v>1140.252114122311</v>
      </c>
      <c r="AL82" s="69">
        <f t="shared" si="51"/>
        <v>53.531999999999996</v>
      </c>
      <c r="AO82" s="44">
        <f t="shared" si="52"/>
        <v>-5581.7182000000003</v>
      </c>
      <c r="AP82" s="44">
        <f t="shared" si="53"/>
        <v>0</v>
      </c>
      <c r="AQ82" s="44">
        <f t="shared" si="54"/>
        <v>0</v>
      </c>
      <c r="AR82" s="44">
        <f t="shared" si="55"/>
        <v>0</v>
      </c>
      <c r="AS82" s="44">
        <f t="shared" si="56"/>
        <v>0</v>
      </c>
      <c r="AT82" s="44">
        <f t="shared" si="57"/>
        <v>0</v>
      </c>
      <c r="AU82" s="61">
        <f t="shared" si="58"/>
        <v>0</v>
      </c>
      <c r="AV82" s="44">
        <f t="shared" si="59"/>
        <v>0</v>
      </c>
      <c r="AY82" s="44"/>
      <c r="AZ82" s="44"/>
      <c r="BA82" s="44"/>
      <c r="BB82" s="44"/>
      <c r="BC82" s="44"/>
      <c r="BD82" s="44"/>
      <c r="BE82" s="44"/>
      <c r="BF82" s="44"/>
      <c r="BG82" s="44"/>
    </row>
    <row r="83" spans="2:59" hidden="1" x14ac:dyDescent="0.25">
      <c r="B83" s="43" t="s">
        <v>134</v>
      </c>
      <c r="C83" s="89" t="s">
        <v>151</v>
      </c>
      <c r="D83" s="47" t="s">
        <v>14</v>
      </c>
      <c r="E83" s="47">
        <v>220</v>
      </c>
      <c r="F83" s="47" t="s">
        <v>137</v>
      </c>
      <c r="G83" s="25" t="s">
        <v>154</v>
      </c>
      <c r="H83" s="26">
        <v>42736</v>
      </c>
      <c r="I83" s="26">
        <v>50040</v>
      </c>
      <c r="J83" s="16" t="str">
        <f t="shared" si="34"/>
        <v>Ancoa 220</v>
      </c>
      <c r="K83" s="44">
        <f t="shared" si="35"/>
        <v>0</v>
      </c>
      <c r="L83" s="44">
        <f t="shared" si="36"/>
        <v>53.088000000000001</v>
      </c>
      <c r="M83" s="56">
        <f t="shared" si="37"/>
        <v>0</v>
      </c>
      <c r="N83" s="56">
        <f t="shared" si="61"/>
        <v>74.610476825134668</v>
      </c>
      <c r="O83" s="45">
        <f t="shared" si="39"/>
        <v>3960.9209936927496</v>
      </c>
      <c r="P83" s="45">
        <f t="shared" si="40"/>
        <v>53.088000000000001</v>
      </c>
      <c r="S83" s="48">
        <f t="shared" si="41"/>
        <v>0</v>
      </c>
      <c r="T83" s="48">
        <f t="shared" si="60"/>
        <v>53.088000000000001</v>
      </c>
      <c r="U83" s="48">
        <f>([11]R2!H497)/1000</f>
        <v>0</v>
      </c>
      <c r="V83" s="48">
        <f>([11]R2!G497)/1000</f>
        <v>74.610476825134668</v>
      </c>
      <c r="W83" s="48">
        <f>([11]R2!J497)/1000</f>
        <v>0</v>
      </c>
      <c r="X83" s="48">
        <f>([11]R2!I497)/1000</f>
        <v>3960.9209936927491</v>
      </c>
      <c r="Y83" s="48">
        <f>([11]R2!K497)/1000</f>
        <v>0</v>
      </c>
      <c r="Z83" s="48">
        <f t="shared" si="42"/>
        <v>3960.9209936927496</v>
      </c>
      <c r="AA83" s="48">
        <f t="shared" si="43"/>
        <v>53.088000000000001</v>
      </c>
      <c r="AD83" s="44">
        <f>+INDEX([2]Precios!$B$9:$H$28,MATCH($J83,[2]Precios!$B$9:$B$28,0),7)</f>
        <v>5478.6370999999999</v>
      </c>
      <c r="AE83" s="44">
        <f>+INDEX([2]Precios!$B$9:$H$28,MATCH($J83,[2]Precios!$B$9:$B$28,0),6)</f>
        <v>53.088000000000001</v>
      </c>
      <c r="AF83" s="68">
        <f t="shared" si="46"/>
        <v>0</v>
      </c>
      <c r="AG83" s="68">
        <f t="shared" si="47"/>
        <v>74.610476825134668</v>
      </c>
      <c r="AH83" s="68">
        <f t="shared" si="48"/>
        <v>0</v>
      </c>
      <c r="AI83" s="68">
        <f t="shared" si="49"/>
        <v>3960.9209936927496</v>
      </c>
      <c r="AJ83" s="68"/>
      <c r="AK83" s="69">
        <f t="shared" si="50"/>
        <v>3960.9209936927496</v>
      </c>
      <c r="AL83" s="69">
        <f t="shared" si="51"/>
        <v>53.088000000000001</v>
      </c>
      <c r="AO83" s="44">
        <f t="shared" si="52"/>
        <v>-5478.6370999999999</v>
      </c>
      <c r="AP83" s="44">
        <f t="shared" si="53"/>
        <v>0</v>
      </c>
      <c r="AQ83" s="44">
        <f t="shared" si="54"/>
        <v>0</v>
      </c>
      <c r="AR83" s="44">
        <f t="shared" si="55"/>
        <v>0</v>
      </c>
      <c r="AS83" s="44">
        <f t="shared" si="56"/>
        <v>0</v>
      </c>
      <c r="AT83" s="44">
        <f t="shared" si="57"/>
        <v>0</v>
      </c>
      <c r="AU83" s="61">
        <f t="shared" si="58"/>
        <v>0</v>
      </c>
      <c r="AV83" s="44">
        <f t="shared" si="59"/>
        <v>0</v>
      </c>
      <c r="AY83" s="44"/>
      <c r="AZ83" s="44"/>
      <c r="BA83" s="44"/>
      <c r="BB83" s="44"/>
      <c r="BC83" s="44"/>
      <c r="BD83" s="44"/>
      <c r="BE83" s="44"/>
      <c r="BF83" s="44"/>
      <c r="BG83" s="44"/>
    </row>
    <row r="84" spans="2:59" hidden="1" x14ac:dyDescent="0.25">
      <c r="B84" s="43" t="s">
        <v>134</v>
      </c>
      <c r="C84" s="89" t="s">
        <v>151</v>
      </c>
      <c r="D84" s="47" t="s">
        <v>15</v>
      </c>
      <c r="E84" s="47">
        <v>220</v>
      </c>
      <c r="F84" s="47" t="s">
        <v>137</v>
      </c>
      <c r="G84" s="25" t="s">
        <v>154</v>
      </c>
      <c r="H84" s="26">
        <v>42736</v>
      </c>
      <c r="I84" s="26">
        <v>50040</v>
      </c>
      <c r="J84" s="16" t="str">
        <f t="shared" si="34"/>
        <v>Charrua 220</v>
      </c>
      <c r="K84" s="44">
        <f t="shared" si="35"/>
        <v>0</v>
      </c>
      <c r="L84" s="44">
        <f t="shared" si="36"/>
        <v>50.875999999999998</v>
      </c>
      <c r="M84" s="56">
        <f t="shared" si="37"/>
        <v>0</v>
      </c>
      <c r="N84" s="56">
        <f t="shared" si="61"/>
        <v>56.405124075796692</v>
      </c>
      <c r="O84" s="45">
        <f t="shared" si="39"/>
        <v>2869.6670924802324</v>
      </c>
      <c r="P84" s="45">
        <f t="shared" si="40"/>
        <v>50.875999999999998</v>
      </c>
      <c r="S84" s="48">
        <f t="shared" si="41"/>
        <v>0</v>
      </c>
      <c r="T84" s="48">
        <f t="shared" si="60"/>
        <v>50.875999999999998</v>
      </c>
      <c r="U84" s="48">
        <f>([11]R2!H498)/1000</f>
        <v>0</v>
      </c>
      <c r="V84" s="48">
        <f>([11]R2!G498)/1000</f>
        <v>56.405124075796692</v>
      </c>
      <c r="W84" s="48">
        <f>([11]R2!J498)/1000</f>
        <v>0</v>
      </c>
      <c r="X84" s="48">
        <f>([11]R2!I498)/1000</f>
        <v>2869.6670924802324</v>
      </c>
      <c r="Y84" s="48">
        <f>([11]R2!K498)/1000</f>
        <v>0</v>
      </c>
      <c r="Z84" s="48">
        <f t="shared" si="42"/>
        <v>2869.6670924802324</v>
      </c>
      <c r="AA84" s="48">
        <f t="shared" si="43"/>
        <v>50.875999999999998</v>
      </c>
      <c r="AD84" s="44">
        <f>+INDEX([2]Precios!$B$9:$H$28,MATCH($J84,[2]Precios!$B$9:$B$28,0),7)</f>
        <v>5282.6574000000001</v>
      </c>
      <c r="AE84" s="44">
        <f>+INDEX([2]Precios!$B$9:$H$28,MATCH($J84,[2]Precios!$B$9:$B$28,0),6)</f>
        <v>50.875999999999998</v>
      </c>
      <c r="AF84" s="68">
        <f t="shared" si="46"/>
        <v>0</v>
      </c>
      <c r="AG84" s="68">
        <f t="shared" si="47"/>
        <v>56.405124075796692</v>
      </c>
      <c r="AH84" s="68">
        <f t="shared" si="48"/>
        <v>0</v>
      </c>
      <c r="AI84" s="68">
        <f t="shared" si="49"/>
        <v>2869.6670924802324</v>
      </c>
      <c r="AJ84" s="68"/>
      <c r="AK84" s="69">
        <f t="shared" si="50"/>
        <v>2869.6670924802324</v>
      </c>
      <c r="AL84" s="69">
        <f t="shared" si="51"/>
        <v>50.875999999999998</v>
      </c>
      <c r="AO84" s="44">
        <f t="shared" si="52"/>
        <v>-5282.6574000000001</v>
      </c>
      <c r="AP84" s="44">
        <f t="shared" si="53"/>
        <v>0</v>
      </c>
      <c r="AQ84" s="44">
        <f t="shared" si="54"/>
        <v>0</v>
      </c>
      <c r="AR84" s="44">
        <f t="shared" si="55"/>
        <v>0</v>
      </c>
      <c r="AS84" s="44">
        <f t="shared" si="56"/>
        <v>0</v>
      </c>
      <c r="AT84" s="44">
        <f t="shared" si="57"/>
        <v>0</v>
      </c>
      <c r="AU84" s="61">
        <f t="shared" si="58"/>
        <v>0</v>
      </c>
      <c r="AV84" s="44">
        <f t="shared" si="59"/>
        <v>0</v>
      </c>
      <c r="AY84" s="44"/>
      <c r="AZ84" s="44"/>
      <c r="BA84" s="44"/>
      <c r="BB84" s="44"/>
      <c r="BC84" s="44"/>
      <c r="BD84" s="44"/>
      <c r="BE84" s="44"/>
      <c r="BF84" s="44"/>
      <c r="BG84" s="44"/>
    </row>
    <row r="85" spans="2:59" hidden="1" x14ac:dyDescent="0.25">
      <c r="B85" s="43" t="s">
        <v>134</v>
      </c>
      <c r="C85" s="89" t="s">
        <v>151</v>
      </c>
      <c r="D85" s="47" t="s">
        <v>84</v>
      </c>
      <c r="E85" s="47">
        <v>220</v>
      </c>
      <c r="F85" s="47" t="s">
        <v>137</v>
      </c>
      <c r="G85" s="25" t="s">
        <v>154</v>
      </c>
      <c r="H85" s="26">
        <v>42736</v>
      </c>
      <c r="I85" s="26">
        <v>50040</v>
      </c>
      <c r="J85" s="16" t="str">
        <f t="shared" si="34"/>
        <v>Itahue 220</v>
      </c>
      <c r="K85" s="44">
        <f t="shared" si="35"/>
        <v>0</v>
      </c>
      <c r="L85" s="44">
        <f t="shared" si="36"/>
        <v>53.531999999999996</v>
      </c>
      <c r="M85" s="56">
        <f t="shared" si="37"/>
        <v>0</v>
      </c>
      <c r="N85" s="56">
        <f t="shared" si="61"/>
        <v>28.479542688761168</v>
      </c>
      <c r="O85" s="45">
        <f t="shared" si="39"/>
        <v>1524.5668792147628</v>
      </c>
      <c r="P85" s="45">
        <f t="shared" si="40"/>
        <v>53.531999999999996</v>
      </c>
      <c r="S85" s="48">
        <f t="shared" si="41"/>
        <v>0</v>
      </c>
      <c r="T85" s="48">
        <f t="shared" si="60"/>
        <v>53.531999999999996</v>
      </c>
      <c r="U85" s="48">
        <f>([11]R2!H499)/1000</f>
        <v>0</v>
      </c>
      <c r="V85" s="48">
        <f>([11]R2!G499)/1000</f>
        <v>28.479542688761168</v>
      </c>
      <c r="W85" s="48">
        <f>([11]R2!J499)/1000</f>
        <v>0</v>
      </c>
      <c r="X85" s="48">
        <f>([11]R2!I499)/1000</f>
        <v>1524.5668792147628</v>
      </c>
      <c r="Y85" s="48">
        <f>([11]R2!K499)/1000</f>
        <v>2.5081734471818991E-2</v>
      </c>
      <c r="Z85" s="48">
        <f t="shared" si="42"/>
        <v>1524.5668792147628</v>
      </c>
      <c r="AA85" s="48">
        <f t="shared" si="43"/>
        <v>53.531999999999996</v>
      </c>
      <c r="AD85" s="44">
        <f>+INDEX([2]Precios!$B$9:$H$28,MATCH($J85,[2]Precios!$B$9:$B$28,0),7)</f>
        <v>5581.7182000000003</v>
      </c>
      <c r="AE85" s="44">
        <f>+INDEX([2]Precios!$B$9:$H$28,MATCH($J85,[2]Precios!$B$9:$B$28,0),6)</f>
        <v>53.531999999999996</v>
      </c>
      <c r="AF85" s="68">
        <f t="shared" si="46"/>
        <v>0</v>
      </c>
      <c r="AG85" s="68">
        <f t="shared" si="47"/>
        <v>28.479542688761168</v>
      </c>
      <c r="AH85" s="68">
        <f t="shared" si="48"/>
        <v>0</v>
      </c>
      <c r="AI85" s="68">
        <f t="shared" si="49"/>
        <v>1524.5668792147628</v>
      </c>
      <c r="AJ85" s="68"/>
      <c r="AK85" s="69">
        <f t="shared" si="50"/>
        <v>1524.5668792147628</v>
      </c>
      <c r="AL85" s="69">
        <f t="shared" si="51"/>
        <v>53.531999999999996</v>
      </c>
      <c r="AO85" s="44">
        <f t="shared" si="52"/>
        <v>-5581.7182000000003</v>
      </c>
      <c r="AP85" s="44">
        <f t="shared" si="53"/>
        <v>0</v>
      </c>
      <c r="AQ85" s="44">
        <f t="shared" si="54"/>
        <v>0</v>
      </c>
      <c r="AR85" s="44">
        <f t="shared" si="55"/>
        <v>0</v>
      </c>
      <c r="AS85" s="44">
        <f t="shared" si="56"/>
        <v>0</v>
      </c>
      <c r="AT85" s="44">
        <f t="shared" si="57"/>
        <v>0</v>
      </c>
      <c r="AU85" s="61">
        <f t="shared" si="58"/>
        <v>0</v>
      </c>
      <c r="AV85" s="44">
        <f t="shared" si="59"/>
        <v>0</v>
      </c>
      <c r="AY85" s="44"/>
      <c r="AZ85" s="44"/>
      <c r="BA85" s="44"/>
      <c r="BB85" s="44"/>
      <c r="BC85" s="44"/>
      <c r="BD85" s="44"/>
      <c r="BE85" s="44"/>
      <c r="BF85" s="44"/>
      <c r="BG85" s="44"/>
    </row>
    <row r="86" spans="2:59" hidden="1" x14ac:dyDescent="0.25">
      <c r="B86" s="43" t="s">
        <v>134</v>
      </c>
      <c r="C86" s="89" t="s">
        <v>151</v>
      </c>
      <c r="D86" s="47" t="s">
        <v>14</v>
      </c>
      <c r="E86" s="47" t="s">
        <v>167</v>
      </c>
      <c r="F86" s="47" t="s">
        <v>137</v>
      </c>
      <c r="G86" s="25" t="s">
        <v>155</v>
      </c>
      <c r="H86" s="26">
        <v>42736</v>
      </c>
      <c r="I86" s="26">
        <v>50040</v>
      </c>
      <c r="J86" s="16" t="str">
        <f t="shared" si="34"/>
        <v>Ancoa 220</v>
      </c>
      <c r="K86" s="44">
        <f t="shared" si="35"/>
        <v>5478.66</v>
      </c>
      <c r="L86" s="44">
        <f t="shared" si="36"/>
        <v>53.088000000000001</v>
      </c>
      <c r="M86" s="56">
        <f t="shared" si="37"/>
        <v>5.8323727170275327E-2</v>
      </c>
      <c r="N86" s="56">
        <f t="shared" si="61"/>
        <v>32.682222824949363</v>
      </c>
      <c r="O86" s="45">
        <f t="shared" si="39"/>
        <v>2054.5697164296125</v>
      </c>
      <c r="P86" s="45">
        <f t="shared" si="40"/>
        <v>62.865054419161766</v>
      </c>
      <c r="S86" s="48">
        <f t="shared" si="41"/>
        <v>5478.66</v>
      </c>
      <c r="T86" s="48">
        <f t="shared" si="60"/>
        <v>53.088000000000001</v>
      </c>
      <c r="U86" s="48">
        <f>([11]R2!H530)/1000</f>
        <v>5.8323727170275327E-2</v>
      </c>
      <c r="V86" s="48">
        <f>([11]R2!G530)/1000</f>
        <v>32.682222824949363</v>
      </c>
      <c r="W86" s="48">
        <f>([11]R2!J530)/1000</f>
        <v>319.53587109870062</v>
      </c>
      <c r="X86" s="48">
        <f>([11]R2!I530)/1000</f>
        <v>1735.0338453309118</v>
      </c>
      <c r="Y86" s="48">
        <f>([11]R2!K530)/1000</f>
        <v>0</v>
      </c>
      <c r="Z86" s="48">
        <f t="shared" si="42"/>
        <v>2054.5697164296125</v>
      </c>
      <c r="AA86" s="48">
        <f t="shared" si="43"/>
        <v>62.865054419161766</v>
      </c>
      <c r="AD86" s="44">
        <f>+INDEX([2]Precios!$B$9:$H$28,MATCH($J86,[2]Precios!$B$9:$B$28,0),7)</f>
        <v>5478.6370999999999</v>
      </c>
      <c r="AE86" s="44">
        <f>+INDEX([2]Precios!$B$9:$H$28,MATCH($J86,[2]Precios!$B$9:$B$28,0),6)</f>
        <v>53.088000000000001</v>
      </c>
      <c r="AF86" s="68">
        <f t="shared" si="46"/>
        <v>5.8323727170275327E-2</v>
      </c>
      <c r="AG86" s="68">
        <f t="shared" si="47"/>
        <v>32.682222824949363</v>
      </c>
      <c r="AH86" s="68">
        <f t="shared" si="48"/>
        <v>319.53453548534844</v>
      </c>
      <c r="AI86" s="68">
        <f t="shared" si="49"/>
        <v>1735.0338453309118</v>
      </c>
      <c r="AJ86" s="68"/>
      <c r="AK86" s="69">
        <f t="shared" si="50"/>
        <v>2054.5683808162603</v>
      </c>
      <c r="AL86" s="69">
        <f t="shared" si="51"/>
        <v>62.865013552499811</v>
      </c>
      <c r="AO86" s="44">
        <f t="shared" si="52"/>
        <v>2.2899999999935972E-2</v>
      </c>
      <c r="AP86" s="44">
        <f t="shared" si="53"/>
        <v>0</v>
      </c>
      <c r="AQ86" s="44">
        <f t="shared" si="54"/>
        <v>0</v>
      </c>
      <c r="AR86" s="44">
        <f t="shared" si="55"/>
        <v>0</v>
      </c>
      <c r="AS86" s="44">
        <f t="shared" si="56"/>
        <v>-1.3356133521824631E-3</v>
      </c>
      <c r="AT86" s="44">
        <f t="shared" si="57"/>
        <v>0</v>
      </c>
      <c r="AU86" s="61">
        <f t="shared" si="58"/>
        <v>-1.3356133522393066E-3</v>
      </c>
      <c r="AV86" s="44">
        <f t="shared" si="59"/>
        <v>4.0866661954908068E-5</v>
      </c>
      <c r="AY86" s="44"/>
      <c r="AZ86" s="44"/>
      <c r="BA86" s="44"/>
      <c r="BB86" s="44"/>
      <c r="BC86" s="44"/>
      <c r="BD86" s="44"/>
      <c r="BE86" s="44"/>
      <c r="BF86" s="44"/>
      <c r="BG86" s="44"/>
    </row>
    <row r="87" spans="2:59" hidden="1" x14ac:dyDescent="0.25">
      <c r="B87" s="43" t="s">
        <v>134</v>
      </c>
      <c r="C87" s="89" t="s">
        <v>151</v>
      </c>
      <c r="D87" s="47" t="s">
        <v>15</v>
      </c>
      <c r="E87" s="47">
        <v>220</v>
      </c>
      <c r="F87" s="47" t="s">
        <v>137</v>
      </c>
      <c r="G87" s="25" t="s">
        <v>155</v>
      </c>
      <c r="H87" s="26">
        <v>42736</v>
      </c>
      <c r="I87" s="26">
        <v>50040</v>
      </c>
      <c r="J87" s="16" t="str">
        <f t="shared" si="34"/>
        <v>Charrua 220</v>
      </c>
      <c r="K87" s="44">
        <f t="shared" si="35"/>
        <v>5282.65</v>
      </c>
      <c r="L87" s="44">
        <f t="shared" si="36"/>
        <v>50.875999999999991</v>
      </c>
      <c r="M87" s="56">
        <f t="shared" si="37"/>
        <v>4.8425539689819712E-2</v>
      </c>
      <c r="N87" s="56">
        <f t="shared" si="61"/>
        <v>27.135684829273334</v>
      </c>
      <c r="O87" s="45">
        <f t="shared" si="39"/>
        <v>1636.3702786165359</v>
      </c>
      <c r="P87" s="45">
        <f t="shared" si="40"/>
        <v>60.303260776793017</v>
      </c>
      <c r="S87" s="48">
        <f t="shared" si="41"/>
        <v>5282.65</v>
      </c>
      <c r="T87" s="48">
        <f t="shared" si="60"/>
        <v>50.875999999999991</v>
      </c>
      <c r="U87" s="48">
        <f>([11]R2!H531)/1000</f>
        <v>4.8425539689819712E-2</v>
      </c>
      <c r="V87" s="48">
        <f>([11]R2!G531)/1000</f>
        <v>27.135684829273334</v>
      </c>
      <c r="W87" s="48">
        <f>([11]R2!J531)/1000</f>
        <v>255.81517724242607</v>
      </c>
      <c r="X87" s="48">
        <f>([11]R2!I531)/1000</f>
        <v>1380.5551013741099</v>
      </c>
      <c r="Y87" s="48">
        <f>([11]R2!K531)/1000</f>
        <v>0</v>
      </c>
      <c r="Z87" s="48">
        <f t="shared" si="42"/>
        <v>1636.3702786165359</v>
      </c>
      <c r="AA87" s="48">
        <f t="shared" si="43"/>
        <v>60.303260776793017</v>
      </c>
      <c r="AD87" s="44">
        <f>+INDEX([2]Precios!$B$9:$H$28,MATCH($J87,[2]Precios!$B$9:$B$28,0),7)</f>
        <v>5282.6574000000001</v>
      </c>
      <c r="AE87" s="44">
        <f>+INDEX([2]Precios!$B$9:$H$28,MATCH($J87,[2]Precios!$B$9:$B$28,0),6)</f>
        <v>50.875999999999998</v>
      </c>
      <c r="AF87" s="68">
        <f t="shared" si="46"/>
        <v>4.8425539689819712E-2</v>
      </c>
      <c r="AG87" s="68">
        <f t="shared" si="47"/>
        <v>27.135684829273334</v>
      </c>
      <c r="AH87" s="68">
        <f t="shared" si="48"/>
        <v>255.8155355914198</v>
      </c>
      <c r="AI87" s="68">
        <f t="shared" si="49"/>
        <v>1380.5551013741101</v>
      </c>
      <c r="AJ87" s="68"/>
      <c r="AK87" s="69">
        <f t="shared" si="50"/>
        <v>1636.3706369655299</v>
      </c>
      <c r="AL87" s="69">
        <f t="shared" si="51"/>
        <v>60.303273982613923</v>
      </c>
      <c r="AO87" s="44">
        <f t="shared" si="52"/>
        <v>-7.4000000004161848E-3</v>
      </c>
      <c r="AP87" s="44">
        <f t="shared" si="53"/>
        <v>0</v>
      </c>
      <c r="AQ87" s="44">
        <f t="shared" si="54"/>
        <v>0</v>
      </c>
      <c r="AR87" s="44">
        <f t="shared" si="55"/>
        <v>0</v>
      </c>
      <c r="AS87" s="44">
        <f t="shared" si="56"/>
        <v>3.583489937284412E-4</v>
      </c>
      <c r="AT87" s="44">
        <f t="shared" si="57"/>
        <v>0</v>
      </c>
      <c r="AU87" s="61">
        <f t="shared" si="58"/>
        <v>3.5834899404108E-4</v>
      </c>
      <c r="AV87" s="44">
        <f t="shared" si="59"/>
        <v>-1.3205820906136978E-5</v>
      </c>
      <c r="AY87" s="44"/>
      <c r="AZ87" s="44"/>
      <c r="BA87" s="44"/>
      <c r="BB87" s="44"/>
      <c r="BC87" s="44"/>
      <c r="BD87" s="44"/>
      <c r="BE87" s="44"/>
      <c r="BF87" s="44"/>
      <c r="BG87" s="44"/>
    </row>
    <row r="88" spans="2:59" hidden="1" x14ac:dyDescent="0.25">
      <c r="B88" s="43" t="s">
        <v>134</v>
      </c>
      <c r="C88" s="89" t="s">
        <v>151</v>
      </c>
      <c r="D88" s="47" t="s">
        <v>84</v>
      </c>
      <c r="E88" s="47">
        <v>220</v>
      </c>
      <c r="F88" s="47" t="s">
        <v>137</v>
      </c>
      <c r="G88" s="25" t="s">
        <v>155</v>
      </c>
      <c r="H88" s="26">
        <v>42736</v>
      </c>
      <c r="I88" s="26">
        <v>50040</v>
      </c>
      <c r="J88" s="16" t="str">
        <f t="shared" si="34"/>
        <v>Itahue 220</v>
      </c>
      <c r="K88" s="44">
        <f t="shared" si="35"/>
        <v>5581.73</v>
      </c>
      <c r="L88" s="44">
        <f t="shared" si="36"/>
        <v>53.532000000000004</v>
      </c>
      <c r="M88" s="56">
        <f t="shared" si="37"/>
        <v>2.0135703718350908E-2</v>
      </c>
      <c r="N88" s="56">
        <f t="shared" si="61"/>
        <v>11.283221899366129</v>
      </c>
      <c r="O88" s="45">
        <f t="shared" si="39"/>
        <v>716.40549623269851</v>
      </c>
      <c r="P88" s="45">
        <f t="shared" si="40"/>
        <v>63.492990089377294</v>
      </c>
      <c r="S88" s="48">
        <f t="shared" si="41"/>
        <v>5581.73</v>
      </c>
      <c r="T88" s="48">
        <f t="shared" si="60"/>
        <v>53.532000000000004</v>
      </c>
      <c r="U88" s="48">
        <f>([11]R2!H532)/1000</f>
        <v>2.0135703718350908E-2</v>
      </c>
      <c r="V88" s="48">
        <f>([11]R2!G532)/1000</f>
        <v>11.283221899366129</v>
      </c>
      <c r="W88" s="48">
        <f>([11]R2!J532)/1000</f>
        <v>112.3920615158308</v>
      </c>
      <c r="X88" s="48">
        <f>([11]R2!I532)/1000</f>
        <v>604.01343471686766</v>
      </c>
      <c r="Y88" s="48">
        <f>([11]R2!K532)/1000</f>
        <v>1.2772439120890511E-2</v>
      </c>
      <c r="Z88" s="48">
        <f t="shared" si="42"/>
        <v>716.40549623269851</v>
      </c>
      <c r="AA88" s="48">
        <f t="shared" si="43"/>
        <v>63.492990089377294</v>
      </c>
      <c r="AD88" s="44">
        <f>+INDEX([2]Precios!$B$9:$H$28,MATCH($J88,[2]Precios!$B$9:$B$28,0),7)</f>
        <v>5581.7182000000003</v>
      </c>
      <c r="AE88" s="44">
        <f>+INDEX([2]Precios!$B$9:$H$28,MATCH($J88,[2]Precios!$B$9:$B$28,0),6)</f>
        <v>53.531999999999996</v>
      </c>
      <c r="AF88" s="68">
        <f t="shared" si="46"/>
        <v>2.0135703718350908E-2</v>
      </c>
      <c r="AG88" s="68">
        <f t="shared" si="47"/>
        <v>11.283221899366129</v>
      </c>
      <c r="AH88" s="68">
        <f t="shared" si="48"/>
        <v>112.39182391452694</v>
      </c>
      <c r="AI88" s="68">
        <f t="shared" si="49"/>
        <v>604.01343471686755</v>
      </c>
      <c r="AJ88" s="68"/>
      <c r="AK88" s="69">
        <f t="shared" si="50"/>
        <v>716.40525863139453</v>
      </c>
      <c r="AL88" s="69">
        <f t="shared" si="51"/>
        <v>63.49296903144667</v>
      </c>
      <c r="AO88" s="44">
        <f t="shared" si="52"/>
        <v>1.1799999999311694E-2</v>
      </c>
      <c r="AP88" s="44">
        <f t="shared" si="53"/>
        <v>0</v>
      </c>
      <c r="AQ88" s="44">
        <f t="shared" si="54"/>
        <v>0</v>
      </c>
      <c r="AR88" s="44">
        <f t="shared" si="55"/>
        <v>0</v>
      </c>
      <c r="AS88" s="44">
        <f t="shared" si="56"/>
        <v>-2.3760130386563105E-4</v>
      </c>
      <c r="AT88" s="44">
        <f t="shared" si="57"/>
        <v>0</v>
      </c>
      <c r="AU88" s="61">
        <f t="shared" si="58"/>
        <v>-2.3760130397931789E-4</v>
      </c>
      <c r="AV88" s="44">
        <f t="shared" si="59"/>
        <v>2.105793062412431E-5</v>
      </c>
      <c r="AY88" s="44"/>
      <c r="AZ88" s="44"/>
      <c r="BA88" s="44"/>
      <c r="BB88" s="44"/>
      <c r="BC88" s="44"/>
      <c r="BD88" s="44"/>
      <c r="BE88" s="44"/>
      <c r="BF88" s="44"/>
      <c r="BG88" s="44"/>
    </row>
    <row r="89" spans="2:59" hidden="1" x14ac:dyDescent="0.25">
      <c r="B89" s="43" t="s">
        <v>134</v>
      </c>
      <c r="C89" s="89" t="s">
        <v>152</v>
      </c>
      <c r="D89" s="47" t="s">
        <v>14</v>
      </c>
      <c r="E89" s="47">
        <v>220</v>
      </c>
      <c r="F89" s="47" t="s">
        <v>137</v>
      </c>
      <c r="G89" s="25" t="s">
        <v>153</v>
      </c>
      <c r="H89" s="26">
        <v>42736</v>
      </c>
      <c r="I89" s="26">
        <v>50040</v>
      </c>
      <c r="J89" s="16" t="str">
        <f t="shared" si="34"/>
        <v>Ancoa 220</v>
      </c>
      <c r="K89" s="44">
        <f t="shared" si="35"/>
        <v>0</v>
      </c>
      <c r="L89" s="44">
        <f t="shared" si="36"/>
        <v>53.088000000000001</v>
      </c>
      <c r="M89" s="56">
        <f t="shared" si="37"/>
        <v>0</v>
      </c>
      <c r="N89" s="56">
        <f t="shared" si="61"/>
        <v>3.3437192169221288</v>
      </c>
      <c r="O89" s="45">
        <f t="shared" si="39"/>
        <v>177.51136578796198</v>
      </c>
      <c r="P89" s="45">
        <f t="shared" si="40"/>
        <v>53.088000000000001</v>
      </c>
      <c r="S89" s="48">
        <f t="shared" si="41"/>
        <v>0</v>
      </c>
      <c r="T89" s="48">
        <f t="shared" si="60"/>
        <v>53.088000000000001</v>
      </c>
      <c r="U89" s="48">
        <f>([11]R2!H573)/1000</f>
        <v>0</v>
      </c>
      <c r="V89" s="48">
        <f>([11]R2!G573)/1000</f>
        <v>3.3437192169221288</v>
      </c>
      <c r="W89" s="48">
        <f>([11]R2!J573)/1000</f>
        <v>0</v>
      </c>
      <c r="X89" s="48">
        <f>([11]R2!I573)/1000</f>
        <v>177.51136578796198</v>
      </c>
      <c r="Y89" s="48">
        <f>([11]R2!K573)/1000</f>
        <v>0</v>
      </c>
      <c r="Z89" s="48">
        <f t="shared" si="42"/>
        <v>177.51136578796198</v>
      </c>
      <c r="AA89" s="48">
        <f t="shared" si="43"/>
        <v>53.088000000000001</v>
      </c>
      <c r="AD89" s="44">
        <f>+INDEX([2]Precios!$B$9:$H$28,MATCH($J89,[2]Precios!$B$9:$B$28,0),7)</f>
        <v>5478.6370999999999</v>
      </c>
      <c r="AE89" s="44">
        <f>+INDEX([2]Precios!$B$9:$H$28,MATCH($J89,[2]Precios!$B$9:$B$28,0),6)</f>
        <v>53.088000000000001</v>
      </c>
      <c r="AF89" s="68">
        <f t="shared" si="46"/>
        <v>0</v>
      </c>
      <c r="AG89" s="68">
        <f t="shared" si="47"/>
        <v>3.3437192169221288</v>
      </c>
      <c r="AH89" s="68">
        <f t="shared" si="48"/>
        <v>0</v>
      </c>
      <c r="AI89" s="68">
        <f t="shared" si="49"/>
        <v>177.51136578796198</v>
      </c>
      <c r="AJ89" s="68"/>
      <c r="AK89" s="69">
        <f t="shared" si="50"/>
        <v>177.51136578796198</v>
      </c>
      <c r="AL89" s="69">
        <f t="shared" si="51"/>
        <v>53.088000000000001</v>
      </c>
      <c r="AO89" s="44">
        <f t="shared" si="52"/>
        <v>-5478.6370999999999</v>
      </c>
      <c r="AP89" s="44">
        <f t="shared" si="53"/>
        <v>0</v>
      </c>
      <c r="AQ89" s="44">
        <f t="shared" si="54"/>
        <v>0</v>
      </c>
      <c r="AR89" s="44">
        <f t="shared" si="55"/>
        <v>0</v>
      </c>
      <c r="AS89" s="44">
        <f t="shared" si="56"/>
        <v>0</v>
      </c>
      <c r="AT89" s="44">
        <f t="shared" si="57"/>
        <v>0</v>
      </c>
      <c r="AU89" s="61">
        <f t="shared" si="58"/>
        <v>0</v>
      </c>
      <c r="AV89" s="44">
        <f t="shared" si="59"/>
        <v>0</v>
      </c>
      <c r="AY89" s="44"/>
      <c r="AZ89" s="44"/>
      <c r="BA89" s="44"/>
      <c r="BB89" s="44"/>
      <c r="BC89" s="44"/>
      <c r="BD89" s="44">
        <f>+SUM('[12]RESUMEN COMPRAS'!$O$265,'[12]RESUMEN COMPRAS'!$O$267,'[12]RESUMEN COMPRAS'!$O$271)/1000</f>
        <v>-7.1586210375849619</v>
      </c>
      <c r="BE89" s="44"/>
      <c r="BF89" s="44"/>
      <c r="BG89" s="44"/>
    </row>
    <row r="90" spans="2:59" hidden="1" x14ac:dyDescent="0.25">
      <c r="B90" s="43" t="s">
        <v>134</v>
      </c>
      <c r="C90" s="89" t="s">
        <v>152</v>
      </c>
      <c r="D90" s="47" t="s">
        <v>15</v>
      </c>
      <c r="E90" s="47">
        <v>220</v>
      </c>
      <c r="F90" s="47" t="s">
        <v>137</v>
      </c>
      <c r="G90" s="25" t="s">
        <v>153</v>
      </c>
      <c r="H90" s="26">
        <v>42736</v>
      </c>
      <c r="I90" s="26">
        <v>50040</v>
      </c>
      <c r="J90" s="16" t="str">
        <f t="shared" si="34"/>
        <v>Charrua 220</v>
      </c>
      <c r="K90" s="44">
        <f t="shared" si="35"/>
        <v>0</v>
      </c>
      <c r="L90" s="44">
        <f t="shared" si="36"/>
        <v>50.875999999999998</v>
      </c>
      <c r="M90" s="56">
        <f t="shared" si="37"/>
        <v>0</v>
      </c>
      <c r="N90" s="56">
        <f t="shared" si="61"/>
        <v>7.6715601543930223</v>
      </c>
      <c r="O90" s="45">
        <f t="shared" si="39"/>
        <v>390.29829441489937</v>
      </c>
      <c r="P90" s="45">
        <f t="shared" si="40"/>
        <v>50.875999999999998</v>
      </c>
      <c r="S90" s="48">
        <f t="shared" si="41"/>
        <v>0</v>
      </c>
      <c r="T90" s="48">
        <f t="shared" si="60"/>
        <v>50.875999999999998</v>
      </c>
      <c r="U90" s="48">
        <f>([11]R2!H574)/1000</f>
        <v>0</v>
      </c>
      <c r="V90" s="48">
        <f>([11]R2!G574)/1000</f>
        <v>7.6715601543930223</v>
      </c>
      <c r="W90" s="48">
        <f>([11]R2!J574)/1000</f>
        <v>0</v>
      </c>
      <c r="X90" s="48">
        <f>([11]R2!I574)/1000</f>
        <v>390.29829441489937</v>
      </c>
      <c r="Y90" s="48">
        <f>([11]R2!K574)/1000</f>
        <v>0</v>
      </c>
      <c r="Z90" s="48">
        <f t="shared" si="42"/>
        <v>390.29829441489937</v>
      </c>
      <c r="AA90" s="48">
        <f t="shared" si="43"/>
        <v>50.875999999999998</v>
      </c>
      <c r="AD90" s="44">
        <f>+INDEX([2]Precios!$B$9:$H$28,MATCH($J90,[2]Precios!$B$9:$B$28,0),7)</f>
        <v>5282.6574000000001</v>
      </c>
      <c r="AE90" s="44">
        <f>+INDEX([2]Precios!$B$9:$H$28,MATCH($J90,[2]Precios!$B$9:$B$28,0),6)</f>
        <v>50.875999999999998</v>
      </c>
      <c r="AF90" s="68">
        <f t="shared" si="46"/>
        <v>0</v>
      </c>
      <c r="AG90" s="68">
        <f t="shared" si="47"/>
        <v>7.6715601543930223</v>
      </c>
      <c r="AH90" s="68">
        <f t="shared" si="48"/>
        <v>0</v>
      </c>
      <c r="AI90" s="68">
        <f t="shared" si="49"/>
        <v>390.29829441489937</v>
      </c>
      <c r="AJ90" s="68"/>
      <c r="AK90" s="69">
        <f t="shared" si="50"/>
        <v>390.29829441489937</v>
      </c>
      <c r="AL90" s="69">
        <f t="shared" si="51"/>
        <v>50.875999999999998</v>
      </c>
      <c r="AO90" s="44">
        <f t="shared" si="52"/>
        <v>-5282.6574000000001</v>
      </c>
      <c r="AP90" s="44">
        <f t="shared" si="53"/>
        <v>0</v>
      </c>
      <c r="AQ90" s="44">
        <f t="shared" si="54"/>
        <v>0</v>
      </c>
      <c r="AR90" s="44">
        <f t="shared" si="55"/>
        <v>0</v>
      </c>
      <c r="AS90" s="44">
        <f t="shared" si="56"/>
        <v>0</v>
      </c>
      <c r="AT90" s="44">
        <f t="shared" si="57"/>
        <v>0</v>
      </c>
      <c r="AU90" s="61">
        <f t="shared" si="58"/>
        <v>0</v>
      </c>
      <c r="AV90" s="44">
        <f t="shared" si="59"/>
        <v>0</v>
      </c>
      <c r="AY90" s="44"/>
      <c r="AZ90" s="44"/>
      <c r="BA90" s="44"/>
      <c r="BB90" s="44"/>
      <c r="BC90" s="44"/>
      <c r="BD90" s="44"/>
      <c r="BE90" s="44"/>
      <c r="BF90" s="44"/>
      <c r="BG90" s="44"/>
    </row>
    <row r="91" spans="2:59" hidden="1" x14ac:dyDescent="0.25">
      <c r="B91" s="43" t="s">
        <v>134</v>
      </c>
      <c r="C91" s="89" t="s">
        <v>152</v>
      </c>
      <c r="D91" s="47" t="s">
        <v>84</v>
      </c>
      <c r="E91" s="47">
        <v>220</v>
      </c>
      <c r="F91" s="47" t="s">
        <v>137</v>
      </c>
      <c r="G91" s="25" t="s">
        <v>153</v>
      </c>
      <c r="H91" s="26">
        <v>42736</v>
      </c>
      <c r="I91" s="26">
        <v>50040</v>
      </c>
      <c r="J91" s="16" t="str">
        <f t="shared" si="34"/>
        <v>Itahue 220</v>
      </c>
      <c r="K91" s="44">
        <f t="shared" si="35"/>
        <v>0</v>
      </c>
      <c r="L91" s="44">
        <f t="shared" si="36"/>
        <v>53.532000000000004</v>
      </c>
      <c r="M91" s="56">
        <f t="shared" si="37"/>
        <v>0</v>
      </c>
      <c r="N91" s="56">
        <f t="shared" si="61"/>
        <v>2.1991930071855745</v>
      </c>
      <c r="O91" s="45">
        <f t="shared" si="39"/>
        <v>117.72720006065818</v>
      </c>
      <c r="P91" s="45">
        <f t="shared" si="40"/>
        <v>53.532000000000004</v>
      </c>
      <c r="S91" s="48">
        <f t="shared" si="41"/>
        <v>0</v>
      </c>
      <c r="T91" s="48">
        <f t="shared" si="60"/>
        <v>53.532000000000004</v>
      </c>
      <c r="U91" s="48">
        <f>([11]R2!H575)/1000</f>
        <v>0</v>
      </c>
      <c r="V91" s="48">
        <f>([11]R2!G575)/1000</f>
        <v>2.1991930071855745</v>
      </c>
      <c r="W91" s="48">
        <f>([11]R2!J575)/1000</f>
        <v>0</v>
      </c>
      <c r="X91" s="48">
        <f>([11]R2!I575)/1000</f>
        <v>117.72720006065818</v>
      </c>
      <c r="Y91" s="48">
        <f>([11]R2!K575)/1000</f>
        <v>0</v>
      </c>
      <c r="Z91" s="48">
        <f t="shared" si="42"/>
        <v>117.72720006065818</v>
      </c>
      <c r="AA91" s="48">
        <f t="shared" si="43"/>
        <v>53.532000000000004</v>
      </c>
      <c r="AD91" s="44">
        <f>+INDEX([2]Precios!$B$9:$H$28,MATCH($J91,[2]Precios!$B$9:$B$28,0),7)</f>
        <v>5581.7182000000003</v>
      </c>
      <c r="AE91" s="44">
        <f>+INDEX([2]Precios!$B$9:$H$28,MATCH($J91,[2]Precios!$B$9:$B$28,0),6)</f>
        <v>53.531999999999996</v>
      </c>
      <c r="AF91" s="68">
        <f t="shared" si="46"/>
        <v>0</v>
      </c>
      <c r="AG91" s="68">
        <f t="shared" si="47"/>
        <v>2.1991930071855745</v>
      </c>
      <c r="AH91" s="68">
        <f t="shared" si="48"/>
        <v>0</v>
      </c>
      <c r="AI91" s="68">
        <f t="shared" si="49"/>
        <v>117.72720006065816</v>
      </c>
      <c r="AJ91" s="68"/>
      <c r="AK91" s="69">
        <f t="shared" si="50"/>
        <v>117.72720006065816</v>
      </c>
      <c r="AL91" s="69">
        <f t="shared" si="51"/>
        <v>53.531999999999996</v>
      </c>
      <c r="AO91" s="44">
        <f t="shared" si="52"/>
        <v>-5581.7182000000003</v>
      </c>
      <c r="AP91" s="44">
        <f t="shared" si="53"/>
        <v>0</v>
      </c>
      <c r="AQ91" s="44">
        <f t="shared" si="54"/>
        <v>0</v>
      </c>
      <c r="AR91" s="44">
        <f t="shared" si="55"/>
        <v>0</v>
      </c>
      <c r="AS91" s="44">
        <f t="shared" si="56"/>
        <v>0</v>
      </c>
      <c r="AT91" s="44">
        <f t="shared" si="57"/>
        <v>0</v>
      </c>
      <c r="AU91" s="61">
        <f t="shared" si="58"/>
        <v>0</v>
      </c>
      <c r="AV91" s="44">
        <f t="shared" si="59"/>
        <v>0</v>
      </c>
      <c r="AY91" s="44"/>
      <c r="AZ91" s="44"/>
      <c r="BA91" s="44"/>
      <c r="BB91" s="44"/>
      <c r="BC91" s="44"/>
      <c r="BD91" s="44"/>
      <c r="BE91" s="44"/>
      <c r="BF91" s="44"/>
      <c r="BG91" s="44"/>
    </row>
    <row r="92" spans="2:59" hidden="1" x14ac:dyDescent="0.25">
      <c r="B92" s="43" t="s">
        <v>134</v>
      </c>
      <c r="C92" s="89" t="s">
        <v>152</v>
      </c>
      <c r="D92" s="47" t="s">
        <v>14</v>
      </c>
      <c r="E92" s="47">
        <v>220</v>
      </c>
      <c r="F92" s="47" t="s">
        <v>137</v>
      </c>
      <c r="G92" s="25" t="s">
        <v>154</v>
      </c>
      <c r="H92" s="26">
        <v>42736</v>
      </c>
      <c r="I92" s="26">
        <v>50040</v>
      </c>
      <c r="J92" s="16" t="str">
        <f t="shared" si="34"/>
        <v>Ancoa 220</v>
      </c>
      <c r="K92" s="44">
        <f t="shared" si="35"/>
        <v>0</v>
      </c>
      <c r="L92" s="44">
        <f t="shared" si="36"/>
        <v>53.088000000000001</v>
      </c>
      <c r="M92" s="56">
        <f t="shared" si="37"/>
        <v>0</v>
      </c>
      <c r="N92" s="56">
        <f t="shared" si="61"/>
        <v>5.4363750145060274</v>
      </c>
      <c r="O92" s="45">
        <f t="shared" si="39"/>
        <v>288.60627677009597</v>
      </c>
      <c r="P92" s="45">
        <f t="shared" si="40"/>
        <v>53.088000000000001</v>
      </c>
      <c r="S92" s="48">
        <f t="shared" si="41"/>
        <v>0</v>
      </c>
      <c r="T92" s="48">
        <f t="shared" si="60"/>
        <v>53.088000000000001</v>
      </c>
      <c r="U92" s="48">
        <f>([11]R2!H603)/1000</f>
        <v>0</v>
      </c>
      <c r="V92" s="48">
        <f>([11]R2!G603)/1000</f>
        <v>5.4363750145060274</v>
      </c>
      <c r="W92" s="48">
        <f>([11]R2!J603)/1000</f>
        <v>0</v>
      </c>
      <c r="X92" s="48">
        <f>([11]R2!I603)/1000</f>
        <v>288.60627677009597</v>
      </c>
      <c r="Y92" s="48">
        <f>([11]R2!K603)/1000</f>
        <v>0</v>
      </c>
      <c r="Z92" s="48">
        <f t="shared" si="42"/>
        <v>288.60627677009597</v>
      </c>
      <c r="AA92" s="48">
        <f t="shared" si="43"/>
        <v>53.088000000000001</v>
      </c>
      <c r="AD92" s="44">
        <f>+INDEX([2]Precios!$B$9:$H$28,MATCH($J92,[2]Precios!$B$9:$B$28,0),7)</f>
        <v>5478.6370999999999</v>
      </c>
      <c r="AE92" s="44">
        <f>+INDEX([2]Precios!$B$9:$H$28,MATCH($J92,[2]Precios!$B$9:$B$28,0),6)</f>
        <v>53.088000000000001</v>
      </c>
      <c r="AF92" s="68">
        <f t="shared" si="46"/>
        <v>0</v>
      </c>
      <c r="AG92" s="68">
        <f t="shared" si="47"/>
        <v>5.4363750145060274</v>
      </c>
      <c r="AH92" s="68">
        <f t="shared" si="48"/>
        <v>0</v>
      </c>
      <c r="AI92" s="68">
        <f t="shared" si="49"/>
        <v>288.60627677009597</v>
      </c>
      <c r="AJ92" s="68"/>
      <c r="AK92" s="69">
        <f t="shared" si="50"/>
        <v>288.60627677009597</v>
      </c>
      <c r="AL92" s="69">
        <f t="shared" si="51"/>
        <v>53.088000000000001</v>
      </c>
      <c r="AO92" s="44">
        <f t="shared" si="52"/>
        <v>-5478.6370999999999</v>
      </c>
      <c r="AP92" s="44">
        <f t="shared" si="53"/>
        <v>0</v>
      </c>
      <c r="AQ92" s="44">
        <f t="shared" si="54"/>
        <v>0</v>
      </c>
      <c r="AR92" s="44">
        <f t="shared" si="55"/>
        <v>0</v>
      </c>
      <c r="AS92" s="44">
        <f t="shared" si="56"/>
        <v>0</v>
      </c>
      <c r="AT92" s="44">
        <f t="shared" si="57"/>
        <v>0</v>
      </c>
      <c r="AU92" s="61">
        <f t="shared" si="58"/>
        <v>0</v>
      </c>
      <c r="AV92" s="44">
        <f t="shared" si="59"/>
        <v>0</v>
      </c>
      <c r="AY92" s="44"/>
      <c r="AZ92" s="44"/>
      <c r="BA92" s="44"/>
      <c r="BB92" s="44"/>
      <c r="BC92" s="44"/>
      <c r="BD92" s="44"/>
      <c r="BE92" s="44"/>
      <c r="BF92" s="44"/>
      <c r="BG92" s="44"/>
    </row>
    <row r="93" spans="2:59" hidden="1" x14ac:dyDescent="0.25">
      <c r="B93" s="43" t="s">
        <v>134</v>
      </c>
      <c r="C93" s="89" t="s">
        <v>152</v>
      </c>
      <c r="D93" s="47" t="s">
        <v>15</v>
      </c>
      <c r="E93" s="47">
        <v>220</v>
      </c>
      <c r="F93" s="47" t="s">
        <v>137</v>
      </c>
      <c r="G93" s="25" t="s">
        <v>154</v>
      </c>
      <c r="H93" s="26">
        <v>42736</v>
      </c>
      <c r="I93" s="26">
        <v>50040</v>
      </c>
      <c r="J93" s="16" t="str">
        <f t="shared" si="34"/>
        <v>Charrua 220</v>
      </c>
      <c r="K93" s="44">
        <f t="shared" si="35"/>
        <v>0</v>
      </c>
      <c r="L93" s="44">
        <f t="shared" si="36"/>
        <v>50.876000000000005</v>
      </c>
      <c r="M93" s="56">
        <f t="shared" si="37"/>
        <v>0</v>
      </c>
      <c r="N93" s="56">
        <f t="shared" si="61"/>
        <v>12.399178604269535</v>
      </c>
      <c r="O93" s="45">
        <f t="shared" si="39"/>
        <v>630.8206106708169</v>
      </c>
      <c r="P93" s="45">
        <f t="shared" si="40"/>
        <v>50.876000000000005</v>
      </c>
      <c r="S93" s="48">
        <f t="shared" si="41"/>
        <v>0</v>
      </c>
      <c r="T93" s="48">
        <f t="shared" si="60"/>
        <v>50.876000000000005</v>
      </c>
      <c r="U93" s="48">
        <f>([11]R2!H604)/1000</f>
        <v>0</v>
      </c>
      <c r="V93" s="48">
        <f>([11]R2!G604)/1000</f>
        <v>12.399178604269535</v>
      </c>
      <c r="W93" s="48">
        <f>([11]R2!J604)/1000</f>
        <v>0</v>
      </c>
      <c r="X93" s="48">
        <f>([11]R2!I604)/1000</f>
        <v>630.8206106708169</v>
      </c>
      <c r="Y93" s="48">
        <f>([11]R2!K604)/1000</f>
        <v>0</v>
      </c>
      <c r="Z93" s="48">
        <f t="shared" si="42"/>
        <v>630.8206106708169</v>
      </c>
      <c r="AA93" s="48">
        <f t="shared" si="43"/>
        <v>50.876000000000005</v>
      </c>
      <c r="AD93" s="44">
        <f>+INDEX([2]Precios!$B$9:$H$28,MATCH($J93,[2]Precios!$B$9:$B$28,0),7)</f>
        <v>5282.6574000000001</v>
      </c>
      <c r="AE93" s="44">
        <f>+INDEX([2]Precios!$B$9:$H$28,MATCH($J93,[2]Precios!$B$9:$B$28,0),6)</f>
        <v>50.875999999999998</v>
      </c>
      <c r="AF93" s="68">
        <f t="shared" si="46"/>
        <v>0</v>
      </c>
      <c r="AG93" s="68">
        <f t="shared" si="47"/>
        <v>12.399178604269535</v>
      </c>
      <c r="AH93" s="68">
        <f t="shared" si="48"/>
        <v>0</v>
      </c>
      <c r="AI93" s="68">
        <f t="shared" si="49"/>
        <v>630.82061067081679</v>
      </c>
      <c r="AJ93" s="68"/>
      <c r="AK93" s="69">
        <f t="shared" si="50"/>
        <v>630.82061067081679</v>
      </c>
      <c r="AL93" s="69">
        <f t="shared" si="51"/>
        <v>50.875999999999998</v>
      </c>
      <c r="AO93" s="44">
        <f t="shared" si="52"/>
        <v>-5282.6574000000001</v>
      </c>
      <c r="AP93" s="44">
        <f t="shared" si="53"/>
        <v>0</v>
      </c>
      <c r="AQ93" s="44">
        <f t="shared" si="54"/>
        <v>0</v>
      </c>
      <c r="AR93" s="44">
        <f t="shared" si="55"/>
        <v>0</v>
      </c>
      <c r="AS93" s="44">
        <f t="shared" si="56"/>
        <v>0</v>
      </c>
      <c r="AT93" s="44">
        <f t="shared" si="57"/>
        <v>0</v>
      </c>
      <c r="AU93" s="61">
        <f t="shared" si="58"/>
        <v>0</v>
      </c>
      <c r="AV93" s="44">
        <f t="shared" si="59"/>
        <v>0</v>
      </c>
      <c r="AY93" s="44"/>
      <c r="AZ93" s="44"/>
      <c r="BA93" s="44"/>
      <c r="BB93" s="44"/>
      <c r="BC93" s="44"/>
      <c r="BD93" s="44"/>
      <c r="BE93" s="44"/>
      <c r="BF93" s="44"/>
      <c r="BG93" s="44"/>
    </row>
    <row r="94" spans="2:59" hidden="1" x14ac:dyDescent="0.25">
      <c r="B94" s="43" t="s">
        <v>134</v>
      </c>
      <c r="C94" s="89" t="s">
        <v>152</v>
      </c>
      <c r="D94" s="47" t="s">
        <v>84</v>
      </c>
      <c r="E94" s="47">
        <v>220</v>
      </c>
      <c r="F94" s="47" t="s">
        <v>137</v>
      </c>
      <c r="G94" s="25" t="s">
        <v>154</v>
      </c>
      <c r="H94" s="26">
        <v>42736</v>
      </c>
      <c r="I94" s="26">
        <v>50040</v>
      </c>
      <c r="J94" s="16" t="str">
        <f t="shared" si="34"/>
        <v>Itahue 220</v>
      </c>
      <c r="K94" s="44">
        <f t="shared" si="35"/>
        <v>0</v>
      </c>
      <c r="L94" s="44">
        <f t="shared" si="36"/>
        <v>53.531999999999996</v>
      </c>
      <c r="M94" s="56">
        <f t="shared" si="37"/>
        <v>0</v>
      </c>
      <c r="N94" s="56">
        <f t="shared" si="61"/>
        <v>3.8263250674004561</v>
      </c>
      <c r="O94" s="45">
        <f t="shared" si="39"/>
        <v>204.83083350808121</v>
      </c>
      <c r="P94" s="45">
        <f t="shared" si="40"/>
        <v>53.531999999999996</v>
      </c>
      <c r="S94" s="48">
        <f t="shared" si="41"/>
        <v>0</v>
      </c>
      <c r="T94" s="48">
        <f t="shared" si="60"/>
        <v>53.531999999999996</v>
      </c>
      <c r="U94" s="48">
        <f>([11]R2!H605)/1000</f>
        <v>0</v>
      </c>
      <c r="V94" s="48">
        <f>([11]R2!G605)/1000</f>
        <v>3.8263250674004561</v>
      </c>
      <c r="W94" s="48">
        <f>([11]R2!J605)/1000</f>
        <v>0</v>
      </c>
      <c r="X94" s="48">
        <f>([11]R2!I605)/1000</f>
        <v>204.83083350808121</v>
      </c>
      <c r="Y94" s="48">
        <f>([11]R2!K605)/1000</f>
        <v>0</v>
      </c>
      <c r="Z94" s="48">
        <f t="shared" si="42"/>
        <v>204.83083350808121</v>
      </c>
      <c r="AA94" s="48">
        <f t="shared" si="43"/>
        <v>53.531999999999996</v>
      </c>
      <c r="AD94" s="44">
        <f>+INDEX([2]Precios!$B$9:$H$28,MATCH($J94,[2]Precios!$B$9:$B$28,0),7)</f>
        <v>5581.7182000000003</v>
      </c>
      <c r="AE94" s="44">
        <f>+INDEX([2]Precios!$B$9:$H$28,MATCH($J94,[2]Precios!$B$9:$B$28,0),6)</f>
        <v>53.531999999999996</v>
      </c>
      <c r="AF94" s="68">
        <f t="shared" si="46"/>
        <v>0</v>
      </c>
      <c r="AG94" s="68">
        <f t="shared" si="47"/>
        <v>3.8263250674004561</v>
      </c>
      <c r="AH94" s="68">
        <f t="shared" si="48"/>
        <v>0</v>
      </c>
      <c r="AI94" s="68">
        <f t="shared" si="49"/>
        <v>204.83083350808121</v>
      </c>
      <c r="AJ94" s="68"/>
      <c r="AK94" s="69">
        <f t="shared" si="50"/>
        <v>204.83083350808121</v>
      </c>
      <c r="AL94" s="69">
        <f t="shared" si="51"/>
        <v>53.531999999999996</v>
      </c>
      <c r="AO94" s="44">
        <f t="shared" si="52"/>
        <v>-5581.7182000000003</v>
      </c>
      <c r="AP94" s="44">
        <f t="shared" si="53"/>
        <v>0</v>
      </c>
      <c r="AQ94" s="44">
        <f t="shared" si="54"/>
        <v>0</v>
      </c>
      <c r="AR94" s="44">
        <f t="shared" si="55"/>
        <v>0</v>
      </c>
      <c r="AS94" s="44">
        <f t="shared" si="56"/>
        <v>0</v>
      </c>
      <c r="AT94" s="44">
        <f t="shared" si="57"/>
        <v>0</v>
      </c>
      <c r="AU94" s="61">
        <f t="shared" si="58"/>
        <v>0</v>
      </c>
      <c r="AV94" s="44">
        <f t="shared" si="59"/>
        <v>0</v>
      </c>
      <c r="AY94" s="44"/>
      <c r="AZ94" s="44"/>
      <c r="BA94" s="44"/>
      <c r="BB94" s="44"/>
      <c r="BC94" s="44"/>
      <c r="BD94" s="44"/>
      <c r="BE94" s="44"/>
      <c r="BF94" s="44"/>
      <c r="BG94" s="44"/>
    </row>
    <row r="95" spans="2:59" hidden="1" x14ac:dyDescent="0.25">
      <c r="B95" s="43" t="s">
        <v>134</v>
      </c>
      <c r="C95" s="89" t="s">
        <v>152</v>
      </c>
      <c r="D95" s="47" t="s">
        <v>14</v>
      </c>
      <c r="E95" s="47">
        <v>220</v>
      </c>
      <c r="F95" s="47" t="s">
        <v>137</v>
      </c>
      <c r="G95" s="25" t="s">
        <v>155</v>
      </c>
      <c r="H95" s="26">
        <v>42736</v>
      </c>
      <c r="I95" s="26">
        <v>50040</v>
      </c>
      <c r="J95" s="16" t="str">
        <f t="shared" si="34"/>
        <v>Ancoa 220</v>
      </c>
      <c r="K95" s="44">
        <f t="shared" si="35"/>
        <v>5478.66</v>
      </c>
      <c r="L95" s="44">
        <f t="shared" si="36"/>
        <v>53.087999999999994</v>
      </c>
      <c r="M95" s="56">
        <f t="shared" si="37"/>
        <v>3.2189691333373276E-3</v>
      </c>
      <c r="N95" s="56">
        <f t="shared" si="61"/>
        <v>2.0832359028444216</v>
      </c>
      <c r="O95" s="45">
        <f t="shared" si="39"/>
        <v>128.23046504225454</v>
      </c>
      <c r="P95" s="45">
        <f t="shared" si="40"/>
        <v>61.553501870417278</v>
      </c>
      <c r="S95" s="48">
        <f t="shared" si="41"/>
        <v>5478.66</v>
      </c>
      <c r="T95" s="48">
        <f t="shared" si="60"/>
        <v>53.087999999999994</v>
      </c>
      <c r="U95" s="48">
        <f>([11]R2!H636)/1000</f>
        <v>3.2189691333373276E-3</v>
      </c>
      <c r="V95" s="48">
        <f>([11]R2!G636)/1000</f>
        <v>2.0832359028444216</v>
      </c>
      <c r="W95" s="48">
        <f>([11]R2!J636)/1000</f>
        <v>17.635637432049883</v>
      </c>
      <c r="X95" s="48">
        <f>([11]R2!I636)/1000</f>
        <v>110.59482761020465</v>
      </c>
      <c r="Y95" s="48">
        <f>([11]R2!K636)/1000</f>
        <v>0</v>
      </c>
      <c r="Z95" s="48">
        <f t="shared" si="42"/>
        <v>128.23046504225454</v>
      </c>
      <c r="AA95" s="48">
        <f t="shared" si="43"/>
        <v>61.553501870417278</v>
      </c>
      <c r="AD95" s="44">
        <f>+INDEX([2]Precios!$B$9:$H$28,MATCH($J95,[2]Precios!$B$9:$B$28,0),7)</f>
        <v>5478.6370999999999</v>
      </c>
      <c r="AE95" s="44">
        <f>+INDEX([2]Precios!$B$9:$H$28,MATCH($J95,[2]Precios!$B$9:$B$28,0),6)</f>
        <v>53.088000000000001</v>
      </c>
      <c r="AF95" s="68">
        <f t="shared" si="46"/>
        <v>3.2189691333373276E-3</v>
      </c>
      <c r="AG95" s="68">
        <f t="shared" si="47"/>
        <v>2.0832359028444216</v>
      </c>
      <c r="AH95" s="68">
        <f t="shared" si="48"/>
        <v>17.63556371765673</v>
      </c>
      <c r="AI95" s="68">
        <f t="shared" si="49"/>
        <v>110.59482761020466</v>
      </c>
      <c r="AJ95" s="68"/>
      <c r="AK95" s="69">
        <f t="shared" si="50"/>
        <v>128.23039132786138</v>
      </c>
      <c r="AL95" s="69">
        <f t="shared" si="51"/>
        <v>61.553466485853747</v>
      </c>
      <c r="AO95" s="44">
        <f t="shared" si="52"/>
        <v>2.2899999999935972E-2</v>
      </c>
      <c r="AP95" s="44">
        <f t="shared" si="53"/>
        <v>0</v>
      </c>
      <c r="AQ95" s="44">
        <f t="shared" si="54"/>
        <v>0</v>
      </c>
      <c r="AR95" s="44">
        <f t="shared" si="55"/>
        <v>0</v>
      </c>
      <c r="AS95" s="44">
        <f t="shared" si="56"/>
        <v>-7.3714393153068158E-5</v>
      </c>
      <c r="AT95" s="44">
        <f t="shared" si="57"/>
        <v>0</v>
      </c>
      <c r="AU95" s="61">
        <f t="shared" si="58"/>
        <v>-7.3714393153068158E-5</v>
      </c>
      <c r="AV95" s="44">
        <f t="shared" si="59"/>
        <v>3.5384563531692947E-5</v>
      </c>
      <c r="AY95" s="44"/>
      <c r="AZ95" s="44"/>
      <c r="BA95" s="44"/>
      <c r="BB95" s="44"/>
      <c r="BC95" s="44"/>
      <c r="BD95" s="44"/>
      <c r="BE95" s="44"/>
      <c r="BF95" s="44"/>
      <c r="BG95" s="44"/>
    </row>
    <row r="96" spans="2:59" hidden="1" x14ac:dyDescent="0.25">
      <c r="B96" s="43" t="s">
        <v>134</v>
      </c>
      <c r="C96" s="89" t="s">
        <v>152</v>
      </c>
      <c r="D96" s="47" t="s">
        <v>15</v>
      </c>
      <c r="E96" s="47">
        <v>220</v>
      </c>
      <c r="F96" s="47" t="s">
        <v>137</v>
      </c>
      <c r="G96" s="25" t="s">
        <v>155</v>
      </c>
      <c r="H96" s="26">
        <v>42736</v>
      </c>
      <c r="I96" s="26">
        <v>50040</v>
      </c>
      <c r="J96" s="16" t="str">
        <f t="shared" si="34"/>
        <v>Charrua 220</v>
      </c>
      <c r="K96" s="44">
        <f t="shared" ref="K96:K124" si="62">+S96</f>
        <v>5282.65</v>
      </c>
      <c r="L96" s="44">
        <f t="shared" ref="L96:L124" si="63">+T96</f>
        <v>50.875999999999991</v>
      </c>
      <c r="M96" s="56">
        <f t="shared" ref="M96:M124" si="64">+U96</f>
        <v>7.5643404878078004E-3</v>
      </c>
      <c r="N96" s="56">
        <f t="shared" ref="N96:N124" si="65">+V96</f>
        <v>4.8954510070754145</v>
      </c>
      <c r="O96" s="45">
        <f t="shared" ref="O96:O124" si="66">+Z96</f>
        <v>289.02072871388663</v>
      </c>
      <c r="P96" s="45">
        <f t="shared" ref="P96:P124" si="67">+AA96</f>
        <v>59.038631639079597</v>
      </c>
      <c r="S96" s="48">
        <f t="shared" si="41"/>
        <v>5282.65</v>
      </c>
      <c r="T96" s="48">
        <f t="shared" si="60"/>
        <v>50.875999999999991</v>
      </c>
      <c r="U96" s="48">
        <f>([11]R2!H637)/1000</f>
        <v>7.5643404878078004E-3</v>
      </c>
      <c r="V96" s="48">
        <f>([11]R2!G637)/1000</f>
        <v>4.8954510070754145</v>
      </c>
      <c r="W96" s="48">
        <f>([11]R2!J637)/1000</f>
        <v>39.959763277917872</v>
      </c>
      <c r="X96" s="48">
        <f>([11]R2!I637)/1000</f>
        <v>249.06096543596874</v>
      </c>
      <c r="Y96" s="48">
        <f>([11]R2!K637)/1000</f>
        <v>0</v>
      </c>
      <c r="Z96" s="48">
        <f t="shared" si="42"/>
        <v>289.02072871388663</v>
      </c>
      <c r="AA96" s="48">
        <f t="shared" si="43"/>
        <v>59.038631639079597</v>
      </c>
      <c r="AD96" s="44">
        <f>+INDEX([2]Precios!$B$9:$H$28,MATCH($J96,[2]Precios!$B$9:$B$28,0),7)</f>
        <v>5282.6574000000001</v>
      </c>
      <c r="AE96" s="44">
        <f>+INDEX([2]Precios!$B$9:$H$28,MATCH($J96,[2]Precios!$B$9:$B$28,0),6)</f>
        <v>50.875999999999998</v>
      </c>
      <c r="AF96" s="68">
        <f t="shared" si="46"/>
        <v>7.5643404878078004E-3</v>
      </c>
      <c r="AG96" s="68">
        <f t="shared" si="47"/>
        <v>4.8954510070754145</v>
      </c>
      <c r="AH96" s="68">
        <f t="shared" si="48"/>
        <v>39.959819254037484</v>
      </c>
      <c r="AI96" s="68">
        <f t="shared" si="49"/>
        <v>249.06096543596877</v>
      </c>
      <c r="AJ96" s="68"/>
      <c r="AK96" s="69">
        <f t="shared" si="50"/>
        <v>289.02078469000628</v>
      </c>
      <c r="AL96" s="69">
        <f t="shared" si="51"/>
        <v>59.038643073392706</v>
      </c>
      <c r="AO96" s="44">
        <f t="shared" si="52"/>
        <v>-7.4000000004161848E-3</v>
      </c>
      <c r="AP96" s="44">
        <f t="shared" si="53"/>
        <v>0</v>
      </c>
      <c r="AQ96" s="44">
        <f t="shared" si="54"/>
        <v>0</v>
      </c>
      <c r="AR96" s="44">
        <f t="shared" si="55"/>
        <v>0</v>
      </c>
      <c r="AS96" s="44">
        <f t="shared" si="56"/>
        <v>5.5976119611500508E-5</v>
      </c>
      <c r="AT96" s="44">
        <f t="shared" si="57"/>
        <v>0</v>
      </c>
      <c r="AU96" s="61">
        <f t="shared" si="58"/>
        <v>5.5976119654133072E-5</v>
      </c>
      <c r="AV96" s="44">
        <f t="shared" si="59"/>
        <v>-1.1434313108793503E-5</v>
      </c>
      <c r="AY96" s="44"/>
      <c r="AZ96" s="44"/>
      <c r="BA96" s="44"/>
      <c r="BB96" s="44"/>
      <c r="BC96" s="44"/>
      <c r="BD96" s="44"/>
      <c r="BE96" s="44"/>
      <c r="BF96" s="44"/>
      <c r="BG96" s="44"/>
    </row>
    <row r="97" spans="2:59" hidden="1" x14ac:dyDescent="0.25">
      <c r="B97" s="43" t="s">
        <v>134</v>
      </c>
      <c r="C97" s="89" t="s">
        <v>152</v>
      </c>
      <c r="D97" s="47" t="s">
        <v>84</v>
      </c>
      <c r="E97" s="47">
        <v>220</v>
      </c>
      <c r="F97" s="47" t="s">
        <v>137</v>
      </c>
      <c r="G97" s="25" t="s">
        <v>155</v>
      </c>
      <c r="H97" s="26">
        <v>42736</v>
      </c>
      <c r="I97" s="26">
        <v>50040</v>
      </c>
      <c r="J97" s="16" t="str">
        <f t="shared" si="34"/>
        <v>Itahue 220</v>
      </c>
      <c r="K97" s="44">
        <f t="shared" si="62"/>
        <v>5581.7299999999987</v>
      </c>
      <c r="L97" s="44">
        <f t="shared" si="63"/>
        <v>53.531999999999989</v>
      </c>
      <c r="M97" s="56">
        <f t="shared" si="64"/>
        <v>2.5588094623282568E-3</v>
      </c>
      <c r="N97" s="56">
        <f t="shared" si="65"/>
        <v>1.6559971592314242</v>
      </c>
      <c r="O97" s="45">
        <f t="shared" si="66"/>
        <v>102.93142346813808</v>
      </c>
      <c r="P97" s="45">
        <f t="shared" si="67"/>
        <v>62.156763309853901</v>
      </c>
      <c r="S97" s="48">
        <f t="shared" si="41"/>
        <v>5581.7299999999987</v>
      </c>
      <c r="T97" s="48">
        <f t="shared" si="60"/>
        <v>53.531999999999989</v>
      </c>
      <c r="U97" s="48">
        <f>([11]R2!H638)/1000</f>
        <v>2.5588094623282568E-3</v>
      </c>
      <c r="V97" s="48">
        <f>([11]R2!G638)/1000</f>
        <v>1.6559971592314242</v>
      </c>
      <c r="W97" s="48">
        <f>([11]R2!J638)/1000</f>
        <v>14.282583540161498</v>
      </c>
      <c r="X97" s="48">
        <f>([11]R2!I638)/1000</f>
        <v>88.648839927976582</v>
      </c>
      <c r="Y97" s="48">
        <f>([11]R2!K638)/1000</f>
        <v>0</v>
      </c>
      <c r="Z97" s="48">
        <f t="shared" si="42"/>
        <v>102.93142346813808</v>
      </c>
      <c r="AA97" s="48">
        <f t="shared" si="43"/>
        <v>62.156763309853901</v>
      </c>
      <c r="AD97" s="44">
        <f>+INDEX([2]Precios!$B$9:$H$28,MATCH($J97,[2]Precios!$B$9:$B$28,0),7)</f>
        <v>5581.7182000000003</v>
      </c>
      <c r="AE97" s="44">
        <f>+INDEX([2]Precios!$B$9:$H$28,MATCH($J97,[2]Precios!$B$9:$B$28,0),6)</f>
        <v>53.531999999999996</v>
      </c>
      <c r="AF97" s="68">
        <f t="shared" si="46"/>
        <v>2.5588094623282568E-3</v>
      </c>
      <c r="AG97" s="68">
        <f t="shared" si="47"/>
        <v>1.6559971592314242</v>
      </c>
      <c r="AH97" s="68">
        <f t="shared" si="48"/>
        <v>14.282553346209847</v>
      </c>
      <c r="AI97" s="68">
        <f t="shared" si="49"/>
        <v>88.648839927976596</v>
      </c>
      <c r="AJ97" s="68"/>
      <c r="AK97" s="69">
        <f t="shared" si="50"/>
        <v>102.93139327418645</v>
      </c>
      <c r="AL97" s="69">
        <f t="shared" si="51"/>
        <v>62.156745076760046</v>
      </c>
      <c r="AO97" s="44">
        <f t="shared" si="52"/>
        <v>1.17999999984022E-2</v>
      </c>
      <c r="AP97" s="44">
        <f t="shared" si="53"/>
        <v>0</v>
      </c>
      <c r="AQ97" s="44">
        <f t="shared" si="54"/>
        <v>0</v>
      </c>
      <c r="AR97" s="44">
        <f t="shared" si="55"/>
        <v>0</v>
      </c>
      <c r="AS97" s="44">
        <f t="shared" si="56"/>
        <v>-3.0193951651824591E-5</v>
      </c>
      <c r="AT97" s="44">
        <f t="shared" si="57"/>
        <v>0</v>
      </c>
      <c r="AU97" s="61">
        <f t="shared" si="58"/>
        <v>-3.0193951630508309E-5</v>
      </c>
      <c r="AV97" s="44">
        <f t="shared" si="59"/>
        <v>1.8233093854291837E-5</v>
      </c>
      <c r="AY97" s="44"/>
      <c r="AZ97" s="44"/>
      <c r="BA97" s="44"/>
      <c r="BB97" s="44"/>
      <c r="BC97" s="44"/>
      <c r="BD97" s="44"/>
      <c r="BE97" s="44"/>
      <c r="BF97" s="44"/>
      <c r="BG97" s="44"/>
    </row>
    <row r="98" spans="2:59" x14ac:dyDescent="0.25">
      <c r="B98" s="43" t="s">
        <v>134</v>
      </c>
      <c r="C98" s="47" t="s">
        <v>146</v>
      </c>
      <c r="D98" s="47" t="s">
        <v>15</v>
      </c>
      <c r="E98" s="47">
        <v>220</v>
      </c>
      <c r="F98" s="47" t="s">
        <v>137</v>
      </c>
      <c r="G98" s="25" t="s">
        <v>153</v>
      </c>
      <c r="H98" s="26">
        <v>42736</v>
      </c>
      <c r="I98" s="26">
        <v>50040</v>
      </c>
      <c r="J98" s="16" t="str">
        <f t="shared" si="34"/>
        <v>Charrua 220</v>
      </c>
      <c r="K98" s="44">
        <f t="shared" si="62"/>
        <v>0</v>
      </c>
      <c r="L98" s="44">
        <f t="shared" si="63"/>
        <v>49.77</v>
      </c>
      <c r="M98" s="56">
        <f t="shared" si="64"/>
        <v>0</v>
      </c>
      <c r="N98" s="56">
        <f t="shared" si="65"/>
        <v>551.69042753999997</v>
      </c>
      <c r="O98" s="45">
        <f t="shared" si="66"/>
        <v>27457.632578665802</v>
      </c>
      <c r="P98" s="45">
        <f t="shared" si="67"/>
        <v>49.77</v>
      </c>
      <c r="S98" s="90">
        <f t="shared" si="41"/>
        <v>0</v>
      </c>
      <c r="T98" s="90">
        <f>+INDEX([13]Precios!$B$9:$H$28,MATCH($J98,[13]Precios!$B$9:$B$28,0),6)</f>
        <v>49.77</v>
      </c>
      <c r="U98" s="48">
        <v>0</v>
      </c>
      <c r="V98" s="48">
        <f>([14]RESULTADOS!$F$26)/1000</f>
        <v>551.69042753999997</v>
      </c>
      <c r="W98" s="48">
        <v>0</v>
      </c>
      <c r="X98" s="49">
        <f>+T98*V98</f>
        <v>27457.632578665802</v>
      </c>
      <c r="Y98" s="48">
        <f>+[14]REACTIVOS!$C$28/1000</f>
        <v>10.567192305219976</v>
      </c>
      <c r="Z98" s="48">
        <f t="shared" si="42"/>
        <v>27457.632578665802</v>
      </c>
      <c r="AA98" s="48">
        <f t="shared" si="43"/>
        <v>49.77</v>
      </c>
      <c r="AD98" s="44">
        <f>+INDEX([2]Precios!$B$9:$H$28,MATCH($J98,[2]Precios!$B$9:$B$28,0),7)</f>
        <v>5282.6574000000001</v>
      </c>
      <c r="AE98" s="44">
        <f>+INDEX([2]Precios!$B$9:$H$28,MATCH($J98,[2]Precios!$B$9:$B$28,0),6)</f>
        <v>50.875999999999998</v>
      </c>
      <c r="AF98" s="68">
        <f t="shared" si="46"/>
        <v>0</v>
      </c>
      <c r="AG98" s="68">
        <f t="shared" si="47"/>
        <v>551.69042753999997</v>
      </c>
      <c r="AH98" s="68">
        <f t="shared" si="48"/>
        <v>0</v>
      </c>
      <c r="AI98" s="68">
        <f t="shared" si="49"/>
        <v>28067.802191525036</v>
      </c>
      <c r="AJ98" s="68"/>
      <c r="AK98" s="69">
        <f t="shared" si="50"/>
        <v>28067.802191525036</v>
      </c>
      <c r="AL98" s="69">
        <f t="shared" si="51"/>
        <v>50.875999999999998</v>
      </c>
      <c r="AO98" s="44">
        <f t="shared" si="52"/>
        <v>-5282.6574000000001</v>
      </c>
      <c r="AP98" s="44">
        <f t="shared" si="53"/>
        <v>-1.1059999999999945</v>
      </c>
      <c r="AQ98" s="44">
        <f t="shared" si="54"/>
        <v>0</v>
      </c>
      <c r="AR98" s="44">
        <f t="shared" si="55"/>
        <v>0</v>
      </c>
      <c r="AS98" s="44">
        <f t="shared" si="56"/>
        <v>0</v>
      </c>
      <c r="AT98" s="44">
        <f t="shared" si="57"/>
        <v>610.16961285923389</v>
      </c>
      <c r="AU98" s="61">
        <f t="shared" si="58"/>
        <v>610.16961285923389</v>
      </c>
      <c r="AV98" s="44">
        <f t="shared" si="59"/>
        <v>-1.1059999999999945</v>
      </c>
      <c r="AY98" s="44"/>
      <c r="AZ98" s="44"/>
      <c r="BA98" s="44"/>
      <c r="BB98" s="44"/>
      <c r="BC98" s="44"/>
      <c r="BD98" s="44"/>
      <c r="BE98" s="44"/>
      <c r="BF98" s="44"/>
      <c r="BG98" s="44"/>
    </row>
    <row r="99" spans="2:59" x14ac:dyDescent="0.25">
      <c r="B99" s="43" t="s">
        <v>134</v>
      </c>
      <c r="C99" s="47" t="s">
        <v>146</v>
      </c>
      <c r="D99" s="47" t="s">
        <v>84</v>
      </c>
      <c r="E99" s="47">
        <v>220</v>
      </c>
      <c r="F99" s="47" t="s">
        <v>137</v>
      </c>
      <c r="G99" s="25" t="s">
        <v>153</v>
      </c>
      <c r="H99" s="26">
        <v>42736</v>
      </c>
      <c r="I99" s="26">
        <v>50040</v>
      </c>
      <c r="J99" s="16" t="str">
        <f t="shared" si="34"/>
        <v>Itahue 220</v>
      </c>
      <c r="K99" s="44">
        <f t="shared" si="62"/>
        <v>0</v>
      </c>
      <c r="L99" s="44">
        <f t="shared" si="63"/>
        <v>53.387999999999998</v>
      </c>
      <c r="M99" s="56">
        <f t="shared" si="64"/>
        <v>0</v>
      </c>
      <c r="N99" s="56">
        <f t="shared" si="65"/>
        <v>30.69915336</v>
      </c>
      <c r="O99" s="45">
        <f t="shared" si="66"/>
        <v>1638.96639958368</v>
      </c>
      <c r="P99" s="45">
        <f t="shared" si="67"/>
        <v>53.387999999999998</v>
      </c>
      <c r="S99" s="90">
        <f t="shared" si="41"/>
        <v>0</v>
      </c>
      <c r="T99" s="90">
        <f>+INDEX([13]Precios!$B$9:$H$28,MATCH($J99,[13]Precios!$B$9:$B$28,0),6)</f>
        <v>53.387999999999998</v>
      </c>
      <c r="U99" s="48">
        <v>0</v>
      </c>
      <c r="V99" s="48">
        <f>([14]RESULTADOS!$C$26)/1000</f>
        <v>30.69915336</v>
      </c>
      <c r="W99" s="48">
        <v>0</v>
      </c>
      <c r="X99" s="49">
        <f>+T99*V99</f>
        <v>1638.96639958368</v>
      </c>
      <c r="Y99" s="48">
        <v>0</v>
      </c>
      <c r="Z99" s="48">
        <f t="shared" si="42"/>
        <v>1638.96639958368</v>
      </c>
      <c r="AA99" s="48">
        <f t="shared" si="43"/>
        <v>53.387999999999998</v>
      </c>
      <c r="AD99" s="44">
        <f>+INDEX([2]Precios!$B$9:$H$28,MATCH($J99,[2]Precios!$B$9:$B$28,0),7)</f>
        <v>5581.7182000000003</v>
      </c>
      <c r="AE99" s="44">
        <f>+INDEX([2]Precios!$B$9:$H$28,MATCH($J99,[2]Precios!$B$9:$B$28,0),6)</f>
        <v>53.531999999999996</v>
      </c>
      <c r="AF99" s="68">
        <f t="shared" si="46"/>
        <v>0</v>
      </c>
      <c r="AG99" s="68">
        <f t="shared" si="47"/>
        <v>30.69915336</v>
      </c>
      <c r="AH99" s="68">
        <f t="shared" si="48"/>
        <v>0</v>
      </c>
      <c r="AI99" s="68">
        <f t="shared" si="49"/>
        <v>1643.3870776675199</v>
      </c>
      <c r="AJ99" s="68"/>
      <c r="AK99" s="69">
        <f t="shared" si="50"/>
        <v>1643.3870776675199</v>
      </c>
      <c r="AL99" s="69">
        <f t="shared" si="51"/>
        <v>53.531999999999996</v>
      </c>
      <c r="AO99" s="44">
        <f t="shared" si="52"/>
        <v>-5581.7182000000003</v>
      </c>
      <c r="AP99" s="44">
        <f t="shared" si="53"/>
        <v>-0.14399999999999835</v>
      </c>
      <c r="AQ99" s="44">
        <f t="shared" si="54"/>
        <v>0</v>
      </c>
      <c r="AR99" s="44">
        <f t="shared" si="55"/>
        <v>0</v>
      </c>
      <c r="AS99" s="44">
        <f t="shared" si="56"/>
        <v>0</v>
      </c>
      <c r="AT99" s="44">
        <f t="shared" si="57"/>
        <v>4.4206780838399027</v>
      </c>
      <c r="AU99" s="61">
        <f t="shared" si="58"/>
        <v>4.4206780838399027</v>
      </c>
      <c r="AV99" s="44">
        <f t="shared" si="59"/>
        <v>-0.14399999999999835</v>
      </c>
      <c r="AY99" s="44"/>
      <c r="AZ99" s="44"/>
      <c r="BA99" s="44"/>
      <c r="BB99" s="44"/>
      <c r="BC99" s="44"/>
      <c r="BD99" s="44"/>
      <c r="BE99" s="44"/>
      <c r="BF99" s="44"/>
      <c r="BG99" s="44"/>
    </row>
    <row r="100" spans="2:59" x14ac:dyDescent="0.25">
      <c r="B100" s="43" t="s">
        <v>134</v>
      </c>
      <c r="C100" s="47" t="s">
        <v>146</v>
      </c>
      <c r="D100" s="47" t="s">
        <v>15</v>
      </c>
      <c r="E100" s="47">
        <v>220</v>
      </c>
      <c r="F100" s="47" t="s">
        <v>137</v>
      </c>
      <c r="G100" s="25" t="s">
        <v>154</v>
      </c>
      <c r="H100" s="26">
        <v>42736</v>
      </c>
      <c r="I100" s="26">
        <v>50040</v>
      </c>
      <c r="J100" s="16" t="str">
        <f t="shared" si="34"/>
        <v>Charrua 220</v>
      </c>
      <c r="K100" s="44">
        <f t="shared" si="62"/>
        <v>0</v>
      </c>
      <c r="L100" s="44">
        <f t="shared" si="63"/>
        <v>49.77</v>
      </c>
      <c r="M100" s="56">
        <f t="shared" si="64"/>
        <v>0</v>
      </c>
      <c r="N100" s="56">
        <f t="shared" si="65"/>
        <v>752.55814835000001</v>
      </c>
      <c r="O100" s="45">
        <f t="shared" si="66"/>
        <v>37454.819043379503</v>
      </c>
      <c r="P100" s="45">
        <f t="shared" si="67"/>
        <v>49.77</v>
      </c>
      <c r="S100" s="90">
        <f t="shared" si="41"/>
        <v>0</v>
      </c>
      <c r="T100" s="90">
        <f>+INDEX([13]Precios!$B$9:$H$28,MATCH($J100,[13]Precios!$B$9:$B$28,0),6)</f>
        <v>49.77</v>
      </c>
      <c r="U100" s="48">
        <v>0</v>
      </c>
      <c r="V100" s="48">
        <f>([14]RESULTADOS!$G$30)/1000</f>
        <v>752.55814835000001</v>
      </c>
      <c r="W100" s="48">
        <v>0</v>
      </c>
      <c r="X100" s="49">
        <f>+T100*V100</f>
        <v>37454.819043379503</v>
      </c>
      <c r="Y100" s="48">
        <f>+[14]REACTIVOS!$C$32/1000</f>
        <v>14.407665873795219</v>
      </c>
      <c r="Z100" s="48">
        <f t="shared" si="42"/>
        <v>37454.819043379503</v>
      </c>
      <c r="AA100" s="48">
        <f t="shared" si="43"/>
        <v>49.77</v>
      </c>
      <c r="AD100" s="44">
        <f>+INDEX([2]Precios!$B$9:$H$28,MATCH($J100,[2]Precios!$B$9:$B$28,0),7)</f>
        <v>5282.6574000000001</v>
      </c>
      <c r="AE100" s="44">
        <f>+INDEX([2]Precios!$B$9:$H$28,MATCH($J100,[2]Precios!$B$9:$B$28,0),6)</f>
        <v>50.875999999999998</v>
      </c>
      <c r="AF100" s="68">
        <f t="shared" si="46"/>
        <v>0</v>
      </c>
      <c r="AG100" s="68">
        <f t="shared" si="47"/>
        <v>752.55814835000001</v>
      </c>
      <c r="AH100" s="68">
        <f t="shared" si="48"/>
        <v>0</v>
      </c>
      <c r="AI100" s="68">
        <f t="shared" si="49"/>
        <v>38287.148355454599</v>
      </c>
      <c r="AJ100" s="68"/>
      <c r="AK100" s="69">
        <f t="shared" si="50"/>
        <v>38287.148355454599</v>
      </c>
      <c r="AL100" s="69">
        <f t="shared" si="51"/>
        <v>50.875999999999998</v>
      </c>
      <c r="AO100" s="44">
        <f t="shared" si="52"/>
        <v>-5282.6574000000001</v>
      </c>
      <c r="AP100" s="44">
        <f t="shared" si="53"/>
        <v>-1.1059999999999945</v>
      </c>
      <c r="AQ100" s="44">
        <f t="shared" si="54"/>
        <v>0</v>
      </c>
      <c r="AR100" s="44">
        <f t="shared" si="55"/>
        <v>0</v>
      </c>
      <c r="AS100" s="44">
        <f t="shared" si="56"/>
        <v>0</v>
      </c>
      <c r="AT100" s="44">
        <f t="shared" si="57"/>
        <v>832.32931207509682</v>
      </c>
      <c r="AU100" s="61">
        <f t="shared" si="58"/>
        <v>832.32931207509682</v>
      </c>
      <c r="AV100" s="44">
        <f t="shared" si="59"/>
        <v>-1.1059999999999945</v>
      </c>
      <c r="AY100" s="44"/>
      <c r="AZ100" s="44"/>
      <c r="BA100" s="44"/>
      <c r="BB100" s="44"/>
      <c r="BC100" s="44"/>
      <c r="BD100" s="44"/>
      <c r="BE100" s="44"/>
      <c r="BF100" s="44"/>
      <c r="BG100" s="44"/>
    </row>
    <row r="101" spans="2:59" x14ac:dyDescent="0.25">
      <c r="B101" s="43" t="s">
        <v>134</v>
      </c>
      <c r="C101" s="47" t="s">
        <v>146</v>
      </c>
      <c r="D101" s="47" t="s">
        <v>84</v>
      </c>
      <c r="E101" s="47">
        <v>220</v>
      </c>
      <c r="F101" s="47" t="s">
        <v>137</v>
      </c>
      <c r="G101" s="25" t="s">
        <v>154</v>
      </c>
      <c r="H101" s="26">
        <v>42736</v>
      </c>
      <c r="I101" s="26">
        <v>50040</v>
      </c>
      <c r="J101" s="16" t="str">
        <f t="shared" si="34"/>
        <v>Itahue 220</v>
      </c>
      <c r="K101" s="44">
        <f t="shared" si="62"/>
        <v>0</v>
      </c>
      <c r="L101" s="44">
        <f t="shared" si="63"/>
        <v>53.387999999999998</v>
      </c>
      <c r="M101" s="56">
        <f t="shared" si="64"/>
        <v>0</v>
      </c>
      <c r="N101" s="56">
        <f t="shared" si="65"/>
        <v>41.516136369999998</v>
      </c>
      <c r="O101" s="45">
        <f t="shared" si="66"/>
        <v>2216.4634885215596</v>
      </c>
      <c r="P101" s="45">
        <f t="shared" si="67"/>
        <v>53.387999999999991</v>
      </c>
      <c r="S101" s="90">
        <f t="shared" si="41"/>
        <v>0</v>
      </c>
      <c r="T101" s="90">
        <f>+INDEX([13]Precios!$B$9:$H$28,MATCH($J101,[13]Precios!$B$9:$B$28,0),6)</f>
        <v>53.387999999999998</v>
      </c>
      <c r="U101" s="48">
        <v>0</v>
      </c>
      <c r="V101" s="48">
        <f>([14]RESULTADOS!$D$30)/1000</f>
        <v>41.516136369999998</v>
      </c>
      <c r="W101" s="48">
        <v>0</v>
      </c>
      <c r="X101" s="49">
        <f>+T101*V101</f>
        <v>2216.4634885215596</v>
      </c>
      <c r="Y101" s="48">
        <v>0</v>
      </c>
      <c r="Z101" s="48">
        <f t="shared" si="42"/>
        <v>2216.4634885215596</v>
      </c>
      <c r="AA101" s="48">
        <f t="shared" si="43"/>
        <v>53.387999999999991</v>
      </c>
      <c r="AD101" s="44">
        <f>+INDEX([2]Precios!$B$9:$H$28,MATCH($J101,[2]Precios!$B$9:$B$28,0),7)</f>
        <v>5581.7182000000003</v>
      </c>
      <c r="AE101" s="44">
        <f>+INDEX([2]Precios!$B$9:$H$28,MATCH($J101,[2]Precios!$B$9:$B$28,0),6)</f>
        <v>53.531999999999996</v>
      </c>
      <c r="AF101" s="68">
        <f t="shared" si="46"/>
        <v>0</v>
      </c>
      <c r="AG101" s="68">
        <f t="shared" si="47"/>
        <v>41.516136369999998</v>
      </c>
      <c r="AH101" s="68">
        <f t="shared" si="48"/>
        <v>0</v>
      </c>
      <c r="AI101" s="68">
        <f t="shared" si="49"/>
        <v>2222.4418121588396</v>
      </c>
      <c r="AJ101" s="68"/>
      <c r="AK101" s="69">
        <f t="shared" si="50"/>
        <v>2222.4418121588396</v>
      </c>
      <c r="AL101" s="69">
        <f t="shared" si="51"/>
        <v>53.531999999999996</v>
      </c>
      <c r="AO101" s="44">
        <f t="shared" si="52"/>
        <v>-5581.7182000000003</v>
      </c>
      <c r="AP101" s="44">
        <f t="shared" si="53"/>
        <v>-0.14399999999999835</v>
      </c>
      <c r="AQ101" s="44">
        <f t="shared" si="54"/>
        <v>0</v>
      </c>
      <c r="AR101" s="44">
        <f t="shared" si="55"/>
        <v>0</v>
      </c>
      <c r="AS101" s="44">
        <f t="shared" si="56"/>
        <v>0</v>
      </c>
      <c r="AT101" s="44">
        <f t="shared" si="57"/>
        <v>5.9783236372800275</v>
      </c>
      <c r="AU101" s="61">
        <f t="shared" si="58"/>
        <v>5.9783236372800275</v>
      </c>
      <c r="AV101" s="44">
        <f t="shared" si="59"/>
        <v>-0.14400000000000546</v>
      </c>
      <c r="AY101" s="44"/>
      <c r="AZ101" s="44"/>
      <c r="BA101" s="44"/>
      <c r="BB101" s="44"/>
      <c r="BC101" s="44"/>
      <c r="BD101" s="44"/>
      <c r="BE101" s="44"/>
      <c r="BF101" s="44"/>
      <c r="BG101" s="44"/>
    </row>
    <row r="102" spans="2:59" x14ac:dyDescent="0.25">
      <c r="B102" s="43" t="s">
        <v>134</v>
      </c>
      <c r="C102" s="47" t="s">
        <v>146</v>
      </c>
      <c r="D102" s="47" t="s">
        <v>15</v>
      </c>
      <c r="E102" s="47">
        <v>220</v>
      </c>
      <c r="F102" s="47" t="s">
        <v>137</v>
      </c>
      <c r="G102" s="25" t="s">
        <v>155</v>
      </c>
      <c r="H102" s="26">
        <v>42736</v>
      </c>
      <c r="I102" s="26">
        <v>50040</v>
      </c>
      <c r="J102" s="16" t="str">
        <f t="shared" si="34"/>
        <v>Charrua 220</v>
      </c>
      <c r="K102" s="44">
        <f t="shared" si="62"/>
        <v>5075.7348000000002</v>
      </c>
      <c r="L102" s="44">
        <f t="shared" si="63"/>
        <v>49.77</v>
      </c>
      <c r="M102" s="56">
        <f t="shared" si="64"/>
        <v>3.2429999999999999</v>
      </c>
      <c r="N102" s="56">
        <f t="shared" si="65"/>
        <v>392.67640017999997</v>
      </c>
      <c r="O102" s="45">
        <f t="shared" si="66"/>
        <v>36004.112393358599</v>
      </c>
      <c r="P102" s="45">
        <f t="shared" si="67"/>
        <v>91.689015119967934</v>
      </c>
      <c r="S102" s="90">
        <f>+INDEX([13]Precios!$B$9:$H$28,MATCH($J102,[13]Precios!$B$9:$B$25,0),7)</f>
        <v>5075.7348000000002</v>
      </c>
      <c r="T102" s="90">
        <f>+INDEX([13]Precios!$B$9:$H$28,MATCH($J102,[13]Precios!$B$9:$B$28,0),6)</f>
        <v>49.77</v>
      </c>
      <c r="U102" s="48">
        <f>([14]RESULTADOS!$M$32)/1000</f>
        <v>3.2429999999999999</v>
      </c>
      <c r="V102" s="48">
        <f>([14]RESULTADOS!$H$32)/1000</f>
        <v>392.67640017999997</v>
      </c>
      <c r="W102" s="49">
        <f>+S102*U102</f>
        <v>16460.607956399999</v>
      </c>
      <c r="X102" s="49">
        <f t="shared" ref="X102:X103" si="68">+T102*V102</f>
        <v>19543.504436958599</v>
      </c>
      <c r="Y102" s="48">
        <f>+[14]REACTIVOS!$C$34/1000</f>
        <v>7.5913254195214321</v>
      </c>
      <c r="Z102" s="48">
        <f t="shared" si="42"/>
        <v>36004.112393358599</v>
      </c>
      <c r="AA102" s="48">
        <f t="shared" si="43"/>
        <v>91.689015119967934</v>
      </c>
      <c r="AD102" s="44">
        <f>+INDEX([2]Precios!$B$9:$H$28,MATCH($J102,[2]Precios!$B$9:$B$28,0),7)</f>
        <v>5282.6574000000001</v>
      </c>
      <c r="AE102" s="44">
        <f>+INDEX([2]Precios!$B$9:$H$28,MATCH($J102,[2]Precios!$B$9:$B$28,0),6)</f>
        <v>50.875999999999998</v>
      </c>
      <c r="AF102" s="68">
        <f t="shared" si="46"/>
        <v>3.2429999999999999</v>
      </c>
      <c r="AG102" s="68">
        <f t="shared" si="47"/>
        <v>392.67640017999997</v>
      </c>
      <c r="AH102" s="68">
        <f t="shared" si="48"/>
        <v>17131.657948199998</v>
      </c>
      <c r="AI102" s="68">
        <f t="shared" si="49"/>
        <v>19977.804535557676</v>
      </c>
      <c r="AJ102" s="68"/>
      <c r="AK102" s="69">
        <f t="shared" si="50"/>
        <v>37109.46248375767</v>
      </c>
      <c r="AL102" s="69">
        <f t="shared" si="51"/>
        <v>94.503928595522837</v>
      </c>
      <c r="AO102" s="44">
        <f t="shared" si="52"/>
        <v>-206.92259999999987</v>
      </c>
      <c r="AP102" s="44">
        <f t="shared" si="53"/>
        <v>-1.1059999999999945</v>
      </c>
      <c r="AQ102" s="44">
        <f t="shared" si="54"/>
        <v>0</v>
      </c>
      <c r="AR102" s="44">
        <f t="shared" si="55"/>
        <v>0</v>
      </c>
      <c r="AS102" s="44">
        <f t="shared" si="56"/>
        <v>671.04999179999868</v>
      </c>
      <c r="AT102" s="44">
        <f t="shared" si="57"/>
        <v>434.30009859907659</v>
      </c>
      <c r="AU102" s="61">
        <f t="shared" si="58"/>
        <v>1105.3500903990716</v>
      </c>
      <c r="AV102" s="44">
        <f t="shared" si="59"/>
        <v>-2.8149134755549028</v>
      </c>
      <c r="AY102" s="44"/>
      <c r="AZ102" s="44"/>
      <c r="BA102" s="44"/>
      <c r="BB102" s="44"/>
      <c r="BC102" s="44"/>
      <c r="BD102" s="44"/>
      <c r="BE102" s="44"/>
      <c r="BF102" s="44"/>
      <c r="BG102" s="44"/>
    </row>
    <row r="103" spans="2:59" x14ac:dyDescent="0.25">
      <c r="B103" s="43" t="s">
        <v>134</v>
      </c>
      <c r="C103" s="47" t="s">
        <v>146</v>
      </c>
      <c r="D103" s="47" t="s">
        <v>84</v>
      </c>
      <c r="E103" s="47">
        <v>220</v>
      </c>
      <c r="F103" s="47" t="s">
        <v>137</v>
      </c>
      <c r="G103" s="25" t="s">
        <v>155</v>
      </c>
      <c r="H103" s="26">
        <v>42736</v>
      </c>
      <c r="I103" s="26">
        <v>50040</v>
      </c>
      <c r="J103" s="16" t="str">
        <f t="shared" si="34"/>
        <v>Itahue 220</v>
      </c>
      <c r="K103" s="44">
        <f t="shared" si="62"/>
        <v>5560.8611000000001</v>
      </c>
      <c r="L103" s="44">
        <f t="shared" si="63"/>
        <v>53.387999999999998</v>
      </c>
      <c r="M103" s="56">
        <f t="shared" si="64"/>
        <v>0.21</v>
      </c>
      <c r="N103" s="56">
        <f t="shared" si="65"/>
        <v>25.456880860000002</v>
      </c>
      <c r="O103" s="45">
        <f t="shared" si="66"/>
        <v>2526.8727863536801</v>
      </c>
      <c r="P103" s="45">
        <f t="shared" si="67"/>
        <v>99.260895325323048</v>
      </c>
      <c r="S103" s="90">
        <f>+INDEX([13]Precios!$B$9:$H$28,MATCH($J103,[13]Precios!$B$9:$B$28,0),7)</f>
        <v>5560.8611000000001</v>
      </c>
      <c r="T103" s="90">
        <f>+INDEX([13]Precios!$B$9:$H$28,MATCH($J103,[13]Precios!$B$9:$B$28,0),6)</f>
        <v>53.387999999999998</v>
      </c>
      <c r="U103" s="48">
        <f>([14]RESULTADOS!$L$32)/1000</f>
        <v>0.21</v>
      </c>
      <c r="V103" s="48">
        <f>([14]RESULTADOS!$E$32)/1000</f>
        <v>25.456880860000002</v>
      </c>
      <c r="W103" s="49">
        <f>+S103*U103</f>
        <v>1167.780831</v>
      </c>
      <c r="X103" s="49">
        <f t="shared" si="68"/>
        <v>1359.0919553536801</v>
      </c>
      <c r="Y103" s="48">
        <v>0</v>
      </c>
      <c r="Z103" s="48">
        <f t="shared" si="42"/>
        <v>2526.8727863536801</v>
      </c>
      <c r="AA103" s="48">
        <f t="shared" si="43"/>
        <v>99.260895325323048</v>
      </c>
      <c r="AD103" s="44">
        <f>+INDEX([2]Precios!$B$9:$H$28,MATCH($J103,[2]Precios!$B$9:$B$28,0),7)</f>
        <v>5581.7182000000003</v>
      </c>
      <c r="AE103" s="44">
        <f>+INDEX([2]Precios!$B$9:$H$28,MATCH($J103,[2]Precios!$B$9:$B$28,0),6)</f>
        <v>53.531999999999996</v>
      </c>
      <c r="AF103" s="68">
        <f t="shared" si="46"/>
        <v>0.21</v>
      </c>
      <c r="AG103" s="68">
        <f t="shared" si="47"/>
        <v>25.456880860000002</v>
      </c>
      <c r="AH103" s="68">
        <f t="shared" si="48"/>
        <v>1172.1608220000001</v>
      </c>
      <c r="AI103" s="68">
        <f t="shared" si="49"/>
        <v>1362.75774619752</v>
      </c>
      <c r="AJ103" s="68"/>
      <c r="AK103" s="69">
        <f t="shared" si="50"/>
        <v>2534.91856819752</v>
      </c>
      <c r="AL103" s="69">
        <f t="shared" si="51"/>
        <v>99.576950614582088</v>
      </c>
      <c r="AO103" s="44">
        <f t="shared" si="52"/>
        <v>-20.857100000000173</v>
      </c>
      <c r="AP103" s="44">
        <f t="shared" si="53"/>
        <v>-0.14399999999999835</v>
      </c>
      <c r="AQ103" s="44">
        <f t="shared" si="54"/>
        <v>0</v>
      </c>
      <c r="AR103" s="44">
        <f t="shared" si="55"/>
        <v>0</v>
      </c>
      <c r="AS103" s="44">
        <f t="shared" si="56"/>
        <v>4.3799910000000182</v>
      </c>
      <c r="AT103" s="44">
        <f t="shared" si="57"/>
        <v>3.6657908438398863</v>
      </c>
      <c r="AU103" s="61">
        <f t="shared" si="58"/>
        <v>8.0457818438399045</v>
      </c>
      <c r="AV103" s="44">
        <f t="shared" si="59"/>
        <v>-0.31605528925904025</v>
      </c>
      <c r="AY103" s="44"/>
      <c r="AZ103" s="44"/>
      <c r="BA103" s="44"/>
      <c r="BB103" s="44"/>
      <c r="BC103" s="44"/>
      <c r="BD103" s="44"/>
      <c r="BE103" s="44"/>
      <c r="BF103" s="44"/>
      <c r="BG103" s="44"/>
    </row>
    <row r="104" spans="2:59" hidden="1" x14ac:dyDescent="0.25">
      <c r="B104" s="43" t="s">
        <v>134</v>
      </c>
      <c r="C104" s="89" t="s">
        <v>145</v>
      </c>
      <c r="D104" s="47" t="s">
        <v>20</v>
      </c>
      <c r="E104" s="47">
        <v>220</v>
      </c>
      <c r="F104" s="47" t="s">
        <v>137</v>
      </c>
      <c r="G104" s="25" t="s">
        <v>153</v>
      </c>
      <c r="H104" s="26">
        <v>42736</v>
      </c>
      <c r="I104" s="26">
        <v>50040</v>
      </c>
      <c r="J104" s="16" t="str">
        <f t="shared" si="34"/>
        <v>Barro Blanco 220</v>
      </c>
      <c r="K104" s="44">
        <f t="shared" si="62"/>
        <v>0</v>
      </c>
      <c r="L104" s="44">
        <f t="shared" si="63"/>
        <v>58.601999999999997</v>
      </c>
      <c r="M104" s="56">
        <f t="shared" si="64"/>
        <v>0</v>
      </c>
      <c r="N104" s="56">
        <f t="shared" si="65"/>
        <v>11.671501000000001</v>
      </c>
      <c r="O104" s="45">
        <f t="shared" si="66"/>
        <v>683.97330160199999</v>
      </c>
      <c r="P104" s="45">
        <f t="shared" si="67"/>
        <v>58.601999999999997</v>
      </c>
      <c r="S104" s="52">
        <f>+IFERROR(W104/U104,0)</f>
        <v>0</v>
      </c>
      <c r="T104" s="52">
        <f>+'[15]RESULTADOS FACTURACION'!$F$61</f>
        <v>58.601999999999997</v>
      </c>
      <c r="U104" s="52">
        <v>0</v>
      </c>
      <c r="V104" s="52">
        <f>('[15]RESULTADOS FACTURACION'!$F$26)/1000</f>
        <v>11.671501000000001</v>
      </c>
      <c r="W104" s="52">
        <v>0</v>
      </c>
      <c r="X104" s="52">
        <f t="shared" ref="X104:X109" si="69">+T104*V104</f>
        <v>683.97330160199999</v>
      </c>
      <c r="Y104" s="52">
        <v>0</v>
      </c>
      <c r="Z104" s="52">
        <f t="shared" si="42"/>
        <v>683.97330160199999</v>
      </c>
      <c r="AA104" s="52">
        <f t="shared" si="43"/>
        <v>58.601999999999997</v>
      </c>
      <c r="AD104" s="44">
        <f>+INDEX([2]Precios!$B$9:$H$28,MATCH($J104,[2]Precios!$B$9:$B$28,0),7)</f>
        <v>5834.0982000000004</v>
      </c>
      <c r="AE104" s="44">
        <f>+INDEX([2]Precios!$B$9:$H$28,MATCH($J104,[2]Precios!$B$9:$B$28,0),6)</f>
        <v>60.933999999999997</v>
      </c>
      <c r="AF104" s="68">
        <f t="shared" si="46"/>
        <v>0</v>
      </c>
      <c r="AG104" s="68">
        <f t="shared" si="47"/>
        <v>11.671501000000001</v>
      </c>
      <c r="AH104" s="68">
        <f t="shared" si="48"/>
        <v>0</v>
      </c>
      <c r="AI104" s="68">
        <f t="shared" si="49"/>
        <v>711.191241934</v>
      </c>
      <c r="AJ104" s="68"/>
      <c r="AK104" s="69">
        <f t="shared" si="50"/>
        <v>711.191241934</v>
      </c>
      <c r="AL104" s="69">
        <f t="shared" si="51"/>
        <v>60.933999999999997</v>
      </c>
      <c r="AO104" s="44">
        <f t="shared" si="52"/>
        <v>-5834.0982000000004</v>
      </c>
      <c r="AP104" s="44">
        <f t="shared" si="53"/>
        <v>-2.3320000000000007</v>
      </c>
      <c r="AQ104" s="44">
        <f t="shared" si="54"/>
        <v>0</v>
      </c>
      <c r="AR104" s="44">
        <f t="shared" si="55"/>
        <v>0</v>
      </c>
      <c r="AS104" s="44">
        <f t="shared" si="56"/>
        <v>0</v>
      </c>
      <c r="AT104" s="44">
        <f t="shared" si="57"/>
        <v>27.217940332000012</v>
      </c>
      <c r="AU104" s="61">
        <f t="shared" si="58"/>
        <v>27.217940332000012</v>
      </c>
      <c r="AV104" s="44">
        <f t="shared" si="59"/>
        <v>-2.3320000000000007</v>
      </c>
      <c r="AY104" s="44"/>
      <c r="AZ104" s="44"/>
      <c r="BA104" s="44"/>
      <c r="BB104" s="44"/>
      <c r="BC104" s="44"/>
      <c r="BD104" s="44"/>
      <c r="BE104" s="44"/>
      <c r="BF104" s="44"/>
      <c r="BG104" s="44"/>
    </row>
    <row r="105" spans="2:59" hidden="1" x14ac:dyDescent="0.25">
      <c r="B105" s="43" t="s">
        <v>134</v>
      </c>
      <c r="C105" s="89" t="s">
        <v>145</v>
      </c>
      <c r="D105" s="47" t="s">
        <v>17</v>
      </c>
      <c r="E105" s="47">
        <v>220</v>
      </c>
      <c r="F105" s="47" t="s">
        <v>137</v>
      </c>
      <c r="G105" s="25" t="s">
        <v>153</v>
      </c>
      <c r="H105" s="26">
        <v>42736</v>
      </c>
      <c r="I105" s="26">
        <v>50040</v>
      </c>
      <c r="J105" s="16" t="str">
        <f t="shared" si="34"/>
        <v>Valdivia 220</v>
      </c>
      <c r="K105" s="44">
        <f t="shared" si="62"/>
        <v>0</v>
      </c>
      <c r="L105" s="44">
        <f t="shared" si="63"/>
        <v>58.023000000000003</v>
      </c>
      <c r="M105" s="56">
        <f t="shared" si="64"/>
        <v>0</v>
      </c>
      <c r="N105" s="56">
        <f t="shared" si="65"/>
        <v>8.8326290000000007</v>
      </c>
      <c r="O105" s="45">
        <f t="shared" si="66"/>
        <v>512.49563246700006</v>
      </c>
      <c r="P105" s="45">
        <f t="shared" si="67"/>
        <v>58.023000000000003</v>
      </c>
      <c r="S105" s="52">
        <f>+IFERROR(W105/U105,0)</f>
        <v>0</v>
      </c>
      <c r="T105" s="52">
        <f>+'[15]RESULTADOS FACTURACION'!$E$61</f>
        <v>58.023000000000003</v>
      </c>
      <c r="U105" s="52">
        <v>0</v>
      </c>
      <c r="V105" s="52">
        <f>('[15]RESULTADOS FACTURACION'!$C$26)/1000</f>
        <v>8.8326290000000007</v>
      </c>
      <c r="W105" s="52">
        <v>0</v>
      </c>
      <c r="X105" s="52">
        <f t="shared" si="69"/>
        <v>512.49563246700006</v>
      </c>
      <c r="Y105" s="52">
        <v>0</v>
      </c>
      <c r="Z105" s="52">
        <f t="shared" si="42"/>
        <v>512.49563246700006</v>
      </c>
      <c r="AA105" s="52">
        <f t="shared" si="43"/>
        <v>58.023000000000003</v>
      </c>
      <c r="AD105" s="44">
        <f>+INDEX([2]Precios!$B$9:$H$28,MATCH($J105,[2]Precios!$B$9:$B$28,0),7)</f>
        <v>5817.7003999999997</v>
      </c>
      <c r="AE105" s="44">
        <f>+INDEX([2]Precios!$B$9:$H$28,MATCH($J105,[2]Precios!$B$9:$B$28,0),6)</f>
        <v>60.298000000000002</v>
      </c>
      <c r="AF105" s="68">
        <f t="shared" si="46"/>
        <v>0</v>
      </c>
      <c r="AG105" s="68">
        <f t="shared" si="47"/>
        <v>8.8326290000000007</v>
      </c>
      <c r="AH105" s="68">
        <f t="shared" si="48"/>
        <v>0</v>
      </c>
      <c r="AI105" s="68">
        <f t="shared" si="49"/>
        <v>532.58986344200002</v>
      </c>
      <c r="AJ105" s="68"/>
      <c r="AK105" s="69">
        <f t="shared" si="50"/>
        <v>532.58986344200002</v>
      </c>
      <c r="AL105" s="69">
        <f t="shared" si="51"/>
        <v>60.297999999999995</v>
      </c>
      <c r="AO105" s="44">
        <f t="shared" si="52"/>
        <v>-5817.7003999999997</v>
      </c>
      <c r="AP105" s="44">
        <f t="shared" si="53"/>
        <v>-2.2749999999999986</v>
      </c>
      <c r="AQ105" s="44">
        <f t="shared" si="54"/>
        <v>0</v>
      </c>
      <c r="AR105" s="44">
        <f t="shared" si="55"/>
        <v>0</v>
      </c>
      <c r="AS105" s="44">
        <f t="shared" si="56"/>
        <v>0</v>
      </c>
      <c r="AT105" s="44">
        <f t="shared" si="57"/>
        <v>20.094230974999959</v>
      </c>
      <c r="AU105" s="61">
        <f t="shared" si="58"/>
        <v>20.094230974999959</v>
      </c>
      <c r="AV105" s="44">
        <f t="shared" si="59"/>
        <v>-2.2749999999999915</v>
      </c>
      <c r="AY105" s="44"/>
      <c r="AZ105" s="44"/>
      <c r="BA105" s="44"/>
      <c r="BB105" s="44"/>
      <c r="BC105" s="44"/>
      <c r="BD105" s="44"/>
      <c r="BE105" s="44"/>
      <c r="BF105" s="44"/>
      <c r="BG105" s="44"/>
    </row>
    <row r="106" spans="2:59" hidden="1" x14ac:dyDescent="0.25">
      <c r="B106" s="43" t="s">
        <v>134</v>
      </c>
      <c r="C106" s="89" t="s">
        <v>145</v>
      </c>
      <c r="D106" s="47" t="s">
        <v>20</v>
      </c>
      <c r="E106" s="47">
        <v>220</v>
      </c>
      <c r="F106" s="47" t="s">
        <v>137</v>
      </c>
      <c r="G106" s="25" t="s">
        <v>154</v>
      </c>
      <c r="H106" s="26">
        <v>42736</v>
      </c>
      <c r="I106" s="26">
        <v>50040</v>
      </c>
      <c r="J106" s="16" t="str">
        <f t="shared" si="34"/>
        <v>Barro Blanco 220</v>
      </c>
      <c r="K106" s="44">
        <f t="shared" si="62"/>
        <v>0</v>
      </c>
      <c r="L106" s="44">
        <f t="shared" si="63"/>
        <v>58.601999999999997</v>
      </c>
      <c r="M106" s="56">
        <f t="shared" si="64"/>
        <v>0</v>
      </c>
      <c r="N106" s="56">
        <f t="shared" si="65"/>
        <v>15.176193999999999</v>
      </c>
      <c r="O106" s="45">
        <f t="shared" si="66"/>
        <v>889.35532078799986</v>
      </c>
      <c r="P106" s="45">
        <f t="shared" si="67"/>
        <v>58.601999999999997</v>
      </c>
      <c r="S106" s="52">
        <f>+IFERROR(W106/U106,0)</f>
        <v>0</v>
      </c>
      <c r="T106" s="52">
        <f>+T104</f>
        <v>58.601999999999997</v>
      </c>
      <c r="U106" s="52">
        <v>0</v>
      </c>
      <c r="V106" s="52">
        <f>('[15]RESULTADOS FACTURACION'!$G$30)/1000</f>
        <v>15.176193999999999</v>
      </c>
      <c r="W106" s="52">
        <v>0</v>
      </c>
      <c r="X106" s="52">
        <f t="shared" si="69"/>
        <v>889.35532078799986</v>
      </c>
      <c r="Y106" s="52">
        <v>0</v>
      </c>
      <c r="Z106" s="52">
        <f t="shared" si="42"/>
        <v>889.35532078799986</v>
      </c>
      <c r="AA106" s="52">
        <f t="shared" si="43"/>
        <v>58.601999999999997</v>
      </c>
      <c r="AD106" s="44">
        <f>+INDEX([2]Precios!$B$9:$H$28,MATCH($J106,[2]Precios!$B$9:$B$28,0),7)</f>
        <v>5834.0982000000004</v>
      </c>
      <c r="AE106" s="44">
        <f>+INDEX([2]Precios!$B$9:$H$28,MATCH($J106,[2]Precios!$B$9:$B$28,0),6)</f>
        <v>60.933999999999997</v>
      </c>
      <c r="AF106" s="68">
        <f t="shared" si="46"/>
        <v>0</v>
      </c>
      <c r="AG106" s="68">
        <f t="shared" si="47"/>
        <v>15.176193999999999</v>
      </c>
      <c r="AH106" s="68">
        <f t="shared" si="48"/>
        <v>0</v>
      </c>
      <c r="AI106" s="68">
        <f t="shared" si="49"/>
        <v>924.74620519599989</v>
      </c>
      <c r="AJ106" s="68"/>
      <c r="AK106" s="69">
        <f t="shared" si="50"/>
        <v>924.74620519599989</v>
      </c>
      <c r="AL106" s="69">
        <f t="shared" si="51"/>
        <v>60.933999999999997</v>
      </c>
      <c r="AO106" s="44">
        <f t="shared" si="52"/>
        <v>-5834.0982000000004</v>
      </c>
      <c r="AP106" s="44">
        <f t="shared" si="53"/>
        <v>-2.3320000000000007</v>
      </c>
      <c r="AQ106" s="44">
        <f t="shared" si="54"/>
        <v>0</v>
      </c>
      <c r="AR106" s="44">
        <f t="shared" si="55"/>
        <v>0</v>
      </c>
      <c r="AS106" s="44">
        <f t="shared" si="56"/>
        <v>0</v>
      </c>
      <c r="AT106" s="44">
        <f t="shared" si="57"/>
        <v>35.390884408000034</v>
      </c>
      <c r="AU106" s="61">
        <f t="shared" si="58"/>
        <v>35.390884408000034</v>
      </c>
      <c r="AV106" s="44">
        <f t="shared" si="59"/>
        <v>-2.3320000000000007</v>
      </c>
      <c r="AY106" s="44"/>
      <c r="AZ106" s="44"/>
      <c r="BA106" s="44"/>
      <c r="BB106" s="44"/>
      <c r="BC106" s="44"/>
      <c r="BD106" s="44"/>
      <c r="BE106" s="44"/>
      <c r="BF106" s="44"/>
      <c r="BG106" s="44"/>
    </row>
    <row r="107" spans="2:59" hidden="1" x14ac:dyDescent="0.25">
      <c r="B107" s="43" t="s">
        <v>134</v>
      </c>
      <c r="C107" s="89" t="s">
        <v>145</v>
      </c>
      <c r="D107" s="47" t="s">
        <v>17</v>
      </c>
      <c r="E107" s="47">
        <v>220</v>
      </c>
      <c r="F107" s="47" t="s">
        <v>137</v>
      </c>
      <c r="G107" s="25" t="s">
        <v>154</v>
      </c>
      <c r="H107" s="26">
        <v>42736</v>
      </c>
      <c r="I107" s="26">
        <v>50040</v>
      </c>
      <c r="J107" s="16" t="str">
        <f t="shared" si="34"/>
        <v>Valdivia 220</v>
      </c>
      <c r="K107" s="44">
        <f t="shared" si="62"/>
        <v>0</v>
      </c>
      <c r="L107" s="44">
        <f t="shared" si="63"/>
        <v>58.023000000000003</v>
      </c>
      <c r="M107" s="56">
        <f t="shared" si="64"/>
        <v>0</v>
      </c>
      <c r="N107" s="56">
        <f t="shared" si="65"/>
        <v>11.390677</v>
      </c>
      <c r="O107" s="45">
        <f t="shared" si="66"/>
        <v>660.92125157100008</v>
      </c>
      <c r="P107" s="45">
        <f t="shared" si="67"/>
        <v>58.023000000000003</v>
      </c>
      <c r="S107" s="52">
        <f>+IFERROR(W107/U107,0)</f>
        <v>0</v>
      </c>
      <c r="T107" s="52">
        <f>+T105</f>
        <v>58.023000000000003</v>
      </c>
      <c r="U107" s="52">
        <v>0</v>
      </c>
      <c r="V107" s="52">
        <f>('[15]RESULTADOS FACTURACION'!$D$30)/1000</f>
        <v>11.390677</v>
      </c>
      <c r="W107" s="52">
        <v>0</v>
      </c>
      <c r="X107" s="52">
        <f t="shared" si="69"/>
        <v>660.92125157100008</v>
      </c>
      <c r="Y107" s="52">
        <v>0</v>
      </c>
      <c r="Z107" s="52">
        <f t="shared" si="42"/>
        <v>660.92125157100008</v>
      </c>
      <c r="AA107" s="52">
        <f t="shared" si="43"/>
        <v>58.023000000000003</v>
      </c>
      <c r="AD107" s="44">
        <f>+INDEX([2]Precios!$B$9:$H$28,MATCH($J107,[2]Precios!$B$9:$B$28,0),7)</f>
        <v>5817.7003999999997</v>
      </c>
      <c r="AE107" s="44">
        <f>+INDEX([2]Precios!$B$9:$H$28,MATCH($J107,[2]Precios!$B$9:$B$28,0),6)</f>
        <v>60.298000000000002</v>
      </c>
      <c r="AF107" s="68">
        <f t="shared" si="46"/>
        <v>0</v>
      </c>
      <c r="AG107" s="68">
        <f t="shared" si="47"/>
        <v>11.390677</v>
      </c>
      <c r="AH107" s="68">
        <f t="shared" si="48"/>
        <v>0</v>
      </c>
      <c r="AI107" s="68">
        <f t="shared" si="49"/>
        <v>686.835041746</v>
      </c>
      <c r="AJ107" s="68"/>
      <c r="AK107" s="69">
        <f t="shared" si="50"/>
        <v>686.835041746</v>
      </c>
      <c r="AL107" s="69">
        <f t="shared" si="51"/>
        <v>60.298000000000002</v>
      </c>
      <c r="AO107" s="44">
        <f t="shared" si="52"/>
        <v>-5817.7003999999997</v>
      </c>
      <c r="AP107" s="44">
        <f t="shared" si="53"/>
        <v>-2.2749999999999986</v>
      </c>
      <c r="AQ107" s="44">
        <f t="shared" si="54"/>
        <v>0</v>
      </c>
      <c r="AR107" s="44">
        <f t="shared" si="55"/>
        <v>0</v>
      </c>
      <c r="AS107" s="44">
        <f t="shared" si="56"/>
        <v>0</v>
      </c>
      <c r="AT107" s="44">
        <f t="shared" si="57"/>
        <v>25.913790174999917</v>
      </c>
      <c r="AU107" s="61">
        <f t="shared" si="58"/>
        <v>25.913790174999917</v>
      </c>
      <c r="AV107" s="44">
        <f t="shared" si="59"/>
        <v>-2.2749999999999986</v>
      </c>
      <c r="AY107" s="44"/>
      <c r="AZ107" s="44"/>
      <c r="BA107" s="44"/>
      <c r="BB107" s="44"/>
      <c r="BC107" s="44"/>
      <c r="BD107" s="44"/>
      <c r="BE107" s="44"/>
      <c r="BF107" s="44"/>
      <c r="BG107" s="44"/>
    </row>
    <row r="108" spans="2:59" hidden="1" x14ac:dyDescent="0.25">
      <c r="B108" s="43" t="s">
        <v>134</v>
      </c>
      <c r="C108" s="89" t="s">
        <v>145</v>
      </c>
      <c r="D108" s="47" t="s">
        <v>20</v>
      </c>
      <c r="E108" s="47">
        <v>220</v>
      </c>
      <c r="F108" s="47" t="s">
        <v>137</v>
      </c>
      <c r="G108" s="25" t="s">
        <v>155</v>
      </c>
      <c r="H108" s="26">
        <v>42736</v>
      </c>
      <c r="I108" s="26">
        <v>50040</v>
      </c>
      <c r="J108" s="16" t="str">
        <f t="shared" si="34"/>
        <v>Barro Blanco 220</v>
      </c>
      <c r="K108" s="44">
        <f t="shared" si="62"/>
        <v>5356.1081999999997</v>
      </c>
      <c r="L108" s="44">
        <f t="shared" si="63"/>
        <v>58.601999999999997</v>
      </c>
      <c r="M108" s="56">
        <f t="shared" si="64"/>
        <v>6.0999999999999999E-2</v>
      </c>
      <c r="N108" s="56">
        <f t="shared" si="65"/>
        <v>7.7060469999999999</v>
      </c>
      <c r="O108" s="45">
        <f t="shared" si="66"/>
        <v>778.31236649399989</v>
      </c>
      <c r="P108" s="45">
        <f t="shared" si="67"/>
        <v>101.00021015885316</v>
      </c>
      <c r="S108" s="52">
        <f>+'[15]RESULTADOS FACTURACION'!$J$61</f>
        <v>5356.1081999999997</v>
      </c>
      <c r="T108" s="52">
        <f>+T106</f>
        <v>58.601999999999997</v>
      </c>
      <c r="U108" s="52">
        <f>('[15]RESULTADOS FACTURACION'!$M$32)/1000</f>
        <v>6.0999999999999999E-2</v>
      </c>
      <c r="V108" s="52">
        <f>('[15]RESULTADOS FACTURACION'!$H$32)/1000</f>
        <v>7.7060469999999999</v>
      </c>
      <c r="W108" s="52">
        <f>+S108*U108</f>
        <v>326.72260019999999</v>
      </c>
      <c r="X108" s="52">
        <f t="shared" si="69"/>
        <v>451.58976629399996</v>
      </c>
      <c r="Y108" s="52">
        <v>0</v>
      </c>
      <c r="Z108" s="52">
        <f t="shared" si="42"/>
        <v>778.31236649399989</v>
      </c>
      <c r="AA108" s="52">
        <f t="shared" si="43"/>
        <v>101.00021015885316</v>
      </c>
      <c r="AD108" s="44">
        <f>+INDEX([2]Precios!$B$9:$H$28,MATCH($J108,[2]Precios!$B$9:$B$28,0),7)</f>
        <v>5834.0982000000004</v>
      </c>
      <c r="AE108" s="44">
        <f>+INDEX([2]Precios!$B$9:$H$28,MATCH($J108,[2]Precios!$B$9:$B$28,0),6)</f>
        <v>60.933999999999997</v>
      </c>
      <c r="AF108" s="68">
        <f t="shared" si="46"/>
        <v>6.0999999999999999E-2</v>
      </c>
      <c r="AG108" s="68">
        <f t="shared" si="47"/>
        <v>7.7060469999999999</v>
      </c>
      <c r="AH108" s="68">
        <f t="shared" si="48"/>
        <v>355.87999020000001</v>
      </c>
      <c r="AI108" s="68">
        <f t="shared" si="49"/>
        <v>469.56026789799995</v>
      </c>
      <c r="AJ108" s="68"/>
      <c r="AK108" s="69">
        <f t="shared" si="50"/>
        <v>825.44025809799996</v>
      </c>
      <c r="AL108" s="69">
        <f t="shared" si="51"/>
        <v>107.11591274981842</v>
      </c>
      <c r="AO108" s="44">
        <f t="shared" si="52"/>
        <v>-477.99000000000069</v>
      </c>
      <c r="AP108" s="44">
        <f t="shared" si="53"/>
        <v>-2.3320000000000007</v>
      </c>
      <c r="AQ108" s="44">
        <f t="shared" si="54"/>
        <v>0</v>
      </c>
      <c r="AR108" s="44">
        <f t="shared" si="55"/>
        <v>0</v>
      </c>
      <c r="AS108" s="44">
        <f t="shared" si="56"/>
        <v>29.157390000000021</v>
      </c>
      <c r="AT108" s="44">
        <f t="shared" si="57"/>
        <v>17.970501603999992</v>
      </c>
      <c r="AU108" s="61">
        <f t="shared" si="58"/>
        <v>47.127891604000069</v>
      </c>
      <c r="AV108" s="44">
        <f t="shared" si="59"/>
        <v>-6.115702590965256</v>
      </c>
      <c r="AY108" s="44"/>
      <c r="AZ108" s="44"/>
      <c r="BA108" s="44"/>
      <c r="BB108" s="44"/>
      <c r="BC108" s="44"/>
      <c r="BD108" s="44"/>
      <c r="BE108" s="44"/>
      <c r="BF108" s="44"/>
      <c r="BG108" s="44"/>
    </row>
    <row r="109" spans="2:59" hidden="1" x14ac:dyDescent="0.25">
      <c r="B109" s="43" t="s">
        <v>134</v>
      </c>
      <c r="C109" s="89" t="s">
        <v>145</v>
      </c>
      <c r="D109" s="47" t="s">
        <v>17</v>
      </c>
      <c r="E109" s="47">
        <v>220</v>
      </c>
      <c r="F109" s="47" t="s">
        <v>137</v>
      </c>
      <c r="G109" s="25" t="s">
        <v>155</v>
      </c>
      <c r="H109" s="26">
        <v>42736</v>
      </c>
      <c r="I109" s="26">
        <v>50040</v>
      </c>
      <c r="J109" s="16" t="str">
        <f t="shared" si="34"/>
        <v>Valdivia 220</v>
      </c>
      <c r="K109" s="44">
        <f t="shared" si="62"/>
        <v>5344.8216000000002</v>
      </c>
      <c r="L109" s="44">
        <f t="shared" si="63"/>
        <v>58.023000000000003</v>
      </c>
      <c r="M109" s="56">
        <f t="shared" si="64"/>
        <v>4.4999999999999998E-2</v>
      </c>
      <c r="N109" s="56">
        <f t="shared" si="65"/>
        <v>5.6863809999999999</v>
      </c>
      <c r="O109" s="45">
        <f t="shared" si="66"/>
        <v>570.457856763</v>
      </c>
      <c r="P109" s="45">
        <f t="shared" si="67"/>
        <v>100.32002019614936</v>
      </c>
      <c r="S109" s="52">
        <f>+'[15]RESULTADOS FACTURACION'!$I$61</f>
        <v>5344.8216000000002</v>
      </c>
      <c r="T109" s="52">
        <f>+T107</f>
        <v>58.023000000000003</v>
      </c>
      <c r="U109" s="52">
        <f>('[15]RESULTADOS FACTURACION'!$L$32)/1000</f>
        <v>4.4999999999999998E-2</v>
      </c>
      <c r="V109" s="52">
        <f>('[15]RESULTADOS FACTURACION'!$E$32)/1000</f>
        <v>5.6863809999999999</v>
      </c>
      <c r="W109" s="52">
        <f>+S109*U109</f>
        <v>240.51697200000001</v>
      </c>
      <c r="X109" s="52">
        <f t="shared" si="69"/>
        <v>329.94088476299999</v>
      </c>
      <c r="Y109" s="52">
        <f>+SUM('[15]LIC2015_AELA GEN SEPTIEMBRE'!$E$67,'[15]LIC2015_AELA GEN SEPTIEMBRE'!$M$67,'[15]LIC2015_AELA GEN SEPTIEMBRE'!$S$67,'[15]LIC2015_AELA GEN SEPTIEMBRE'!$S$99,'[15]LIC2015_AELA GEN SEPTIEMBRE'!$M$99,'[15]LIC2015_AELA GEN SEPTIEMBRE'!$E$99)/1000</f>
        <v>3.8352701474052252E-2</v>
      </c>
      <c r="Z109" s="52">
        <f t="shared" si="42"/>
        <v>570.457856763</v>
      </c>
      <c r="AA109" s="52">
        <f t="shared" si="43"/>
        <v>100.32002019614936</v>
      </c>
      <c r="AD109" s="44">
        <f>+INDEX([2]Precios!$B$9:$H$28,MATCH($J109,[2]Precios!$B$9:$B$28,0),7)</f>
        <v>5817.7003999999997</v>
      </c>
      <c r="AE109" s="44">
        <f>+INDEX([2]Precios!$B$9:$H$28,MATCH($J109,[2]Precios!$B$9:$B$28,0),6)</f>
        <v>60.298000000000002</v>
      </c>
      <c r="AF109" s="68">
        <f t="shared" si="46"/>
        <v>4.4999999999999998E-2</v>
      </c>
      <c r="AG109" s="68">
        <f t="shared" si="47"/>
        <v>5.6863809999999999</v>
      </c>
      <c r="AH109" s="68">
        <f t="shared" si="48"/>
        <v>261.79651799999999</v>
      </c>
      <c r="AI109" s="68">
        <f t="shared" si="49"/>
        <v>342.87740153800002</v>
      </c>
      <c r="AJ109" s="68"/>
      <c r="AK109" s="69">
        <f t="shared" si="50"/>
        <v>604.67391953800006</v>
      </c>
      <c r="AL109" s="69">
        <f t="shared" si="51"/>
        <v>106.33721510007861</v>
      </c>
      <c r="AO109" s="44">
        <f t="shared" si="52"/>
        <v>-472.8787999999995</v>
      </c>
      <c r="AP109" s="44">
        <f t="shared" si="53"/>
        <v>-2.2749999999999986</v>
      </c>
      <c r="AQ109" s="44">
        <f t="shared" si="54"/>
        <v>0</v>
      </c>
      <c r="AR109" s="44">
        <f t="shared" si="55"/>
        <v>0</v>
      </c>
      <c r="AS109" s="44">
        <f t="shared" si="56"/>
        <v>21.279545999999982</v>
      </c>
      <c r="AT109" s="44">
        <f t="shared" si="57"/>
        <v>12.93651677500003</v>
      </c>
      <c r="AU109" s="61">
        <f t="shared" si="58"/>
        <v>34.216062775000069</v>
      </c>
      <c r="AV109" s="44">
        <f t="shared" si="59"/>
        <v>-6.0171949039292514</v>
      </c>
      <c r="AY109" s="44"/>
      <c r="AZ109" s="44"/>
      <c r="BA109" s="44"/>
      <c r="BB109" s="44"/>
      <c r="BC109" s="44"/>
      <c r="BD109" s="44"/>
      <c r="BE109" s="44"/>
      <c r="BF109" s="44"/>
      <c r="BG109" s="44"/>
    </row>
    <row r="110" spans="2:59" hidden="1" x14ac:dyDescent="0.25">
      <c r="B110" s="43" t="s">
        <v>134</v>
      </c>
      <c r="C110" s="89" t="s">
        <v>149</v>
      </c>
      <c r="D110" s="47" t="s">
        <v>17</v>
      </c>
      <c r="E110" s="47">
        <v>220</v>
      </c>
      <c r="F110" s="47" t="s">
        <v>137</v>
      </c>
      <c r="G110" s="25" t="s">
        <v>153</v>
      </c>
      <c r="H110" s="26">
        <v>42736</v>
      </c>
      <c r="I110" s="26">
        <v>50040</v>
      </c>
      <c r="J110" s="16" t="str">
        <f t="shared" si="34"/>
        <v>Valdivia 220</v>
      </c>
      <c r="K110" s="44">
        <f t="shared" si="62"/>
        <v>0</v>
      </c>
      <c r="L110" s="44">
        <f t="shared" si="63"/>
        <v>58.023838144017873</v>
      </c>
      <c r="M110" s="56">
        <f t="shared" si="64"/>
        <v>0</v>
      </c>
      <c r="N110" s="56">
        <f t="shared" si="65"/>
        <v>21.808</v>
      </c>
      <c r="O110" s="45">
        <f t="shared" si="66"/>
        <v>1265.3838622447417</v>
      </c>
      <c r="P110" s="45">
        <f t="shared" si="67"/>
        <v>58.023838144017873</v>
      </c>
      <c r="S110" s="48">
        <f t="shared" si="41"/>
        <v>0</v>
      </c>
      <c r="T110" s="48">
        <f t="shared" ref="T110:T118" si="70">+IFERROR(X110/V110,0)</f>
        <v>58.023838144017873</v>
      </c>
      <c r="U110" s="48">
        <f>([16]Compras!F19)/1000</f>
        <v>0</v>
      </c>
      <c r="V110" s="48">
        <f>([16]Compras!C19)/1000</f>
        <v>21.808</v>
      </c>
      <c r="W110" s="48">
        <f>([16]Compras!H19)/1000</f>
        <v>0</v>
      </c>
      <c r="X110" s="48">
        <f>([16]Compras!E19)/1000</f>
        <v>1265.3838622447417</v>
      </c>
      <c r="Y110" s="48">
        <f>([16]Compras!K19)/1000</f>
        <v>2E-3</v>
      </c>
      <c r="Z110" s="48">
        <f t="shared" si="42"/>
        <v>1265.3838622447417</v>
      </c>
      <c r="AA110" s="48">
        <f t="shared" si="43"/>
        <v>58.023838144017873</v>
      </c>
      <c r="AD110" s="44">
        <f>+INDEX([2]Precios!$B$9:$H$28,MATCH($J110,[2]Precios!$B$9:$B$28,0),7)</f>
        <v>5817.7003999999997</v>
      </c>
      <c r="AE110" s="44">
        <f>+INDEX([2]Precios!$B$9:$H$28,MATCH($J110,[2]Precios!$B$9:$B$28,0),6)</f>
        <v>60.298000000000002</v>
      </c>
      <c r="AF110" s="68">
        <f t="shared" si="46"/>
        <v>0</v>
      </c>
      <c r="AG110" s="68">
        <f t="shared" si="47"/>
        <v>21.808</v>
      </c>
      <c r="AH110" s="68">
        <f t="shared" si="48"/>
        <v>0</v>
      </c>
      <c r="AI110" s="68">
        <f t="shared" si="49"/>
        <v>1314.9787840000001</v>
      </c>
      <c r="AJ110" s="68"/>
      <c r="AK110" s="69">
        <f t="shared" si="50"/>
        <v>1314.9787840000001</v>
      </c>
      <c r="AL110" s="69">
        <f t="shared" si="51"/>
        <v>60.298000000000009</v>
      </c>
      <c r="AO110" s="44">
        <f t="shared" si="52"/>
        <v>-5817.7003999999997</v>
      </c>
      <c r="AP110" s="44">
        <f t="shared" si="53"/>
        <v>-2.2741618559821291</v>
      </c>
      <c r="AQ110" s="44">
        <f t="shared" si="54"/>
        <v>0</v>
      </c>
      <c r="AR110" s="44">
        <f t="shared" si="55"/>
        <v>0</v>
      </c>
      <c r="AS110" s="44">
        <f t="shared" si="56"/>
        <v>0</v>
      </c>
      <c r="AT110" s="44">
        <f t="shared" si="57"/>
        <v>49.594921755258383</v>
      </c>
      <c r="AU110" s="61">
        <f t="shared" si="58"/>
        <v>49.594921755258383</v>
      </c>
      <c r="AV110" s="44">
        <f t="shared" si="59"/>
        <v>-2.2741618559821362</v>
      </c>
      <c r="AY110" s="44"/>
      <c r="AZ110" s="44"/>
      <c r="BA110" s="44"/>
      <c r="BB110" s="44"/>
      <c r="BC110" s="44"/>
      <c r="BD110" s="44"/>
      <c r="BE110" s="44"/>
      <c r="BF110" s="44"/>
      <c r="BG110" s="44"/>
    </row>
    <row r="111" spans="2:59" hidden="1" x14ac:dyDescent="0.25">
      <c r="B111" s="43" t="s">
        <v>134</v>
      </c>
      <c r="C111" s="89" t="s">
        <v>149</v>
      </c>
      <c r="D111" s="47" t="s">
        <v>20</v>
      </c>
      <c r="E111" s="47">
        <v>220</v>
      </c>
      <c r="F111" s="47" t="s">
        <v>137</v>
      </c>
      <c r="G111" s="25" t="s">
        <v>153</v>
      </c>
      <c r="H111" s="26">
        <v>42736</v>
      </c>
      <c r="I111" s="26">
        <v>50040</v>
      </c>
      <c r="J111" s="16" t="str">
        <f t="shared" si="34"/>
        <v>Barro Blanco 220</v>
      </c>
      <c r="K111" s="44">
        <f t="shared" si="62"/>
        <v>0</v>
      </c>
      <c r="L111" s="44">
        <f t="shared" si="63"/>
        <v>58.60193542441953</v>
      </c>
      <c r="M111" s="56">
        <f t="shared" si="64"/>
        <v>0</v>
      </c>
      <c r="N111" s="56">
        <f t="shared" si="65"/>
        <v>136.24100000000001</v>
      </c>
      <c r="O111" s="45">
        <f t="shared" si="66"/>
        <v>7983.9862841583417</v>
      </c>
      <c r="P111" s="45">
        <f t="shared" si="67"/>
        <v>58.60193542441953</v>
      </c>
      <c r="S111" s="48">
        <f t="shared" si="41"/>
        <v>0</v>
      </c>
      <c r="T111" s="48">
        <f t="shared" si="70"/>
        <v>58.60193542441953</v>
      </c>
      <c r="U111" s="48">
        <f>([16]Compras!F20)/1000</f>
        <v>0</v>
      </c>
      <c r="V111" s="48">
        <f>([16]Compras!C20)/1000</f>
        <v>136.24100000000001</v>
      </c>
      <c r="W111" s="48">
        <f>([16]Compras!H20)/1000</f>
        <v>0</v>
      </c>
      <c r="X111" s="48">
        <f>([16]Compras!E20)/1000</f>
        <v>7983.9862841583417</v>
      </c>
      <c r="Y111" s="48">
        <f>([16]Compras!K20)/1000</f>
        <v>0.46300000000000002</v>
      </c>
      <c r="Z111" s="48">
        <f t="shared" si="42"/>
        <v>7983.9862841583417</v>
      </c>
      <c r="AA111" s="48">
        <f t="shared" si="43"/>
        <v>58.60193542441953</v>
      </c>
      <c r="AD111" s="44">
        <f>+INDEX([2]Precios!$B$9:$H$28,MATCH($J111,[2]Precios!$B$9:$B$28,0),7)</f>
        <v>5834.0982000000004</v>
      </c>
      <c r="AE111" s="44">
        <f>+INDEX([2]Precios!$B$9:$H$28,MATCH($J111,[2]Precios!$B$9:$B$28,0),6)</f>
        <v>60.933999999999997</v>
      </c>
      <c r="AF111" s="68">
        <f t="shared" si="46"/>
        <v>0</v>
      </c>
      <c r="AG111" s="68">
        <f t="shared" si="47"/>
        <v>136.24100000000001</v>
      </c>
      <c r="AH111" s="68">
        <f t="shared" si="48"/>
        <v>0</v>
      </c>
      <c r="AI111" s="68">
        <f t="shared" si="49"/>
        <v>8301.7090939999998</v>
      </c>
      <c r="AJ111" s="68"/>
      <c r="AK111" s="69">
        <f t="shared" si="50"/>
        <v>8301.7090939999998</v>
      </c>
      <c r="AL111" s="69">
        <f t="shared" si="51"/>
        <v>60.93399999999999</v>
      </c>
      <c r="AO111" s="44">
        <f t="shared" si="52"/>
        <v>-5834.0982000000004</v>
      </c>
      <c r="AP111" s="44">
        <f t="shared" si="53"/>
        <v>-2.3320645755804676</v>
      </c>
      <c r="AQ111" s="44">
        <f t="shared" si="54"/>
        <v>0</v>
      </c>
      <c r="AR111" s="44">
        <f t="shared" si="55"/>
        <v>0</v>
      </c>
      <c r="AS111" s="44">
        <f t="shared" si="56"/>
        <v>0</v>
      </c>
      <c r="AT111" s="44">
        <f t="shared" si="57"/>
        <v>317.72280984165809</v>
      </c>
      <c r="AU111" s="61">
        <f t="shared" si="58"/>
        <v>317.72280984165809</v>
      </c>
      <c r="AV111" s="44">
        <f t="shared" si="59"/>
        <v>-2.3320645755804605</v>
      </c>
      <c r="AY111" s="44"/>
      <c r="AZ111" s="44"/>
      <c r="BA111" s="44"/>
      <c r="BB111" s="44"/>
      <c r="BC111" s="44"/>
      <c r="BD111" s="44"/>
      <c r="BE111" s="44"/>
      <c r="BF111" s="44"/>
      <c r="BG111" s="44"/>
    </row>
    <row r="112" spans="2:59" hidden="1" x14ac:dyDescent="0.25">
      <c r="B112" s="43" t="s">
        <v>134</v>
      </c>
      <c r="C112" s="89" t="s">
        <v>149</v>
      </c>
      <c r="D112" s="47" t="s">
        <v>21</v>
      </c>
      <c r="E112" s="47">
        <v>220</v>
      </c>
      <c r="F112" s="47" t="s">
        <v>137</v>
      </c>
      <c r="G112" s="25" t="s">
        <v>153</v>
      </c>
      <c r="H112" s="26">
        <v>42736</v>
      </c>
      <c r="I112" s="26">
        <v>50040</v>
      </c>
      <c r="J112" s="16" t="str">
        <f t="shared" si="34"/>
        <v>Puerto Montt 220</v>
      </c>
      <c r="K112" s="44">
        <f t="shared" si="62"/>
        <v>0</v>
      </c>
      <c r="L112" s="44">
        <f t="shared" si="63"/>
        <v>59.490492355407262</v>
      </c>
      <c r="M112" s="56">
        <f t="shared" si="64"/>
        <v>0</v>
      </c>
      <c r="N112" s="56">
        <f t="shared" si="65"/>
        <v>19.245999999999999</v>
      </c>
      <c r="O112" s="45">
        <f t="shared" si="66"/>
        <v>1144.9540158721682</v>
      </c>
      <c r="P112" s="45">
        <f t="shared" si="67"/>
        <v>59.490492355407262</v>
      </c>
      <c r="S112" s="48">
        <f t="shared" si="41"/>
        <v>0</v>
      </c>
      <c r="T112" s="48">
        <f t="shared" si="70"/>
        <v>59.490492355407262</v>
      </c>
      <c r="U112" s="48">
        <f>([16]Compras!F21)/1000</f>
        <v>0</v>
      </c>
      <c r="V112" s="48">
        <f>([16]Compras!C21)/1000</f>
        <v>19.245999999999999</v>
      </c>
      <c r="W112" s="48">
        <f>([16]Compras!H21)/1000</f>
        <v>0</v>
      </c>
      <c r="X112" s="48">
        <f>([16]Compras!E21)/1000</f>
        <v>1144.9540158721682</v>
      </c>
      <c r="Y112" s="48">
        <f>([16]Compras!K21)/1000</f>
        <v>156.096</v>
      </c>
      <c r="Z112" s="48">
        <f t="shared" si="42"/>
        <v>1144.9540158721682</v>
      </c>
      <c r="AA112" s="48">
        <f t="shared" si="43"/>
        <v>59.490492355407262</v>
      </c>
      <c r="AD112" s="44">
        <f>+INDEX([2]Precios!$B$9:$H$28,MATCH($J112,[2]Precios!$B$9:$B$28,0),7)</f>
        <v>5921.3765999999996</v>
      </c>
      <c r="AE112" s="44">
        <f>+INDEX([2]Precios!$B$9:$H$28,MATCH($J112,[2]Precios!$B$9:$B$28,0),6)</f>
        <v>61.277000000000001</v>
      </c>
      <c r="AF112" s="68">
        <f t="shared" si="46"/>
        <v>0</v>
      </c>
      <c r="AG112" s="68">
        <f t="shared" si="47"/>
        <v>19.245999999999999</v>
      </c>
      <c r="AH112" s="68">
        <f t="shared" si="48"/>
        <v>0</v>
      </c>
      <c r="AI112" s="68">
        <f t="shared" si="49"/>
        <v>1179.3371419999999</v>
      </c>
      <c r="AJ112" s="68"/>
      <c r="AK112" s="69">
        <f t="shared" si="50"/>
        <v>1179.3371419999999</v>
      </c>
      <c r="AL112" s="69">
        <f t="shared" si="51"/>
        <v>61.276999999999994</v>
      </c>
      <c r="AO112" s="44">
        <f t="shared" si="52"/>
        <v>-5921.3765999999996</v>
      </c>
      <c r="AP112" s="44">
        <f t="shared" si="53"/>
        <v>-1.7865076445927386</v>
      </c>
      <c r="AQ112" s="44">
        <f t="shared" si="54"/>
        <v>0</v>
      </c>
      <c r="AR112" s="44">
        <f t="shared" si="55"/>
        <v>0</v>
      </c>
      <c r="AS112" s="44">
        <f t="shared" si="56"/>
        <v>0</v>
      </c>
      <c r="AT112" s="44">
        <f t="shared" si="57"/>
        <v>34.383126127831702</v>
      </c>
      <c r="AU112" s="61">
        <f t="shared" si="58"/>
        <v>34.383126127831702</v>
      </c>
      <c r="AV112" s="44">
        <f t="shared" si="59"/>
        <v>-1.7865076445927315</v>
      </c>
      <c r="AY112" s="44"/>
      <c r="AZ112" s="44"/>
      <c r="BA112" s="44"/>
      <c r="BB112" s="44"/>
      <c r="BC112" s="44"/>
      <c r="BD112" s="44"/>
      <c r="BE112" s="44"/>
      <c r="BF112" s="44"/>
      <c r="BG112" s="44"/>
    </row>
    <row r="113" spans="2:59" hidden="1" x14ac:dyDescent="0.25">
      <c r="B113" s="43" t="s">
        <v>134</v>
      </c>
      <c r="C113" s="89" t="s">
        <v>149</v>
      </c>
      <c r="D113" s="47" t="s">
        <v>17</v>
      </c>
      <c r="E113" s="47">
        <v>220</v>
      </c>
      <c r="F113" s="47" t="s">
        <v>137</v>
      </c>
      <c r="G113" s="25" t="s">
        <v>154</v>
      </c>
      <c r="H113" s="26">
        <v>42736</v>
      </c>
      <c r="I113" s="26">
        <v>50040</v>
      </c>
      <c r="J113" s="16" t="str">
        <f t="shared" si="34"/>
        <v>Valdivia 220</v>
      </c>
      <c r="K113" s="44">
        <f t="shared" si="62"/>
        <v>0</v>
      </c>
      <c r="L113" s="44">
        <f t="shared" si="63"/>
        <v>58.023838144017873</v>
      </c>
      <c r="M113" s="56">
        <f t="shared" si="64"/>
        <v>0</v>
      </c>
      <c r="N113" s="56">
        <f t="shared" si="65"/>
        <v>30.591000000000001</v>
      </c>
      <c r="O113" s="45">
        <f t="shared" si="66"/>
        <v>1775.0072326636507</v>
      </c>
      <c r="P113" s="45">
        <f t="shared" si="67"/>
        <v>58.023838144017873</v>
      </c>
      <c r="S113" s="48">
        <f t="shared" si="41"/>
        <v>0</v>
      </c>
      <c r="T113" s="48">
        <f t="shared" si="70"/>
        <v>58.023838144017873</v>
      </c>
      <c r="U113" s="48">
        <f>([16]Compras!F27)/1000</f>
        <v>0</v>
      </c>
      <c r="V113" s="48">
        <f>([16]Compras!C27)/1000</f>
        <v>30.591000000000001</v>
      </c>
      <c r="W113" s="48">
        <f>([16]Compras!H27)/1000</f>
        <v>0</v>
      </c>
      <c r="X113" s="48">
        <f>([16]Compras!E27)/1000</f>
        <v>1775.0072326636507</v>
      </c>
      <c r="Y113" s="48">
        <f>([16]Compras!K27)/1000</f>
        <v>3.0000000000000001E-3</v>
      </c>
      <c r="Z113" s="48">
        <f t="shared" si="42"/>
        <v>1775.0072326636507</v>
      </c>
      <c r="AA113" s="48">
        <f t="shared" si="43"/>
        <v>58.023838144017873</v>
      </c>
      <c r="AD113" s="44">
        <f>+INDEX([2]Precios!$B$9:$H$28,MATCH($J113,[2]Precios!$B$9:$B$28,0),7)</f>
        <v>5817.7003999999997</v>
      </c>
      <c r="AE113" s="44">
        <f>+INDEX([2]Precios!$B$9:$H$28,MATCH($J113,[2]Precios!$B$9:$B$28,0),6)</f>
        <v>60.298000000000002</v>
      </c>
      <c r="AF113" s="68">
        <f t="shared" si="46"/>
        <v>0</v>
      </c>
      <c r="AG113" s="68">
        <f t="shared" si="47"/>
        <v>30.591000000000001</v>
      </c>
      <c r="AH113" s="68">
        <f t="shared" si="48"/>
        <v>0</v>
      </c>
      <c r="AI113" s="68">
        <f t="shared" si="49"/>
        <v>1844.5761180000002</v>
      </c>
      <c r="AJ113" s="68"/>
      <c r="AK113" s="69">
        <f t="shared" si="50"/>
        <v>1844.5761180000002</v>
      </c>
      <c r="AL113" s="69">
        <f t="shared" si="51"/>
        <v>60.298000000000002</v>
      </c>
      <c r="AO113" s="44">
        <f t="shared" si="52"/>
        <v>-5817.7003999999997</v>
      </c>
      <c r="AP113" s="44">
        <f t="shared" si="53"/>
        <v>-2.2741618559821291</v>
      </c>
      <c r="AQ113" s="44">
        <f t="shared" si="54"/>
        <v>0</v>
      </c>
      <c r="AR113" s="44">
        <f t="shared" si="55"/>
        <v>0</v>
      </c>
      <c r="AS113" s="44">
        <f t="shared" si="56"/>
        <v>0</v>
      </c>
      <c r="AT113" s="44">
        <f t="shared" si="57"/>
        <v>69.568885336349467</v>
      </c>
      <c r="AU113" s="61">
        <f t="shared" si="58"/>
        <v>69.568885336349467</v>
      </c>
      <c r="AV113" s="44">
        <f t="shared" si="59"/>
        <v>-2.2741618559821291</v>
      </c>
      <c r="AY113" s="44"/>
      <c r="AZ113" s="44"/>
      <c r="BA113" s="44"/>
      <c r="BB113" s="44"/>
      <c r="BC113" s="44"/>
      <c r="BD113" s="44"/>
      <c r="BE113" s="44"/>
      <c r="BF113" s="44"/>
      <c r="BG113" s="44"/>
    </row>
    <row r="114" spans="2:59" hidden="1" x14ac:dyDescent="0.25">
      <c r="B114" s="43" t="s">
        <v>134</v>
      </c>
      <c r="C114" s="89" t="s">
        <v>149</v>
      </c>
      <c r="D114" s="47" t="s">
        <v>20</v>
      </c>
      <c r="E114" s="47">
        <v>220</v>
      </c>
      <c r="F114" s="47" t="s">
        <v>137</v>
      </c>
      <c r="G114" s="25" t="s">
        <v>154</v>
      </c>
      <c r="H114" s="26">
        <v>42736</v>
      </c>
      <c r="I114" s="26">
        <v>50040</v>
      </c>
      <c r="J114" s="16" t="str">
        <f t="shared" si="34"/>
        <v>Barro Blanco 220</v>
      </c>
      <c r="K114" s="44">
        <f t="shared" si="62"/>
        <v>0</v>
      </c>
      <c r="L114" s="44">
        <f t="shared" si="63"/>
        <v>58.60193542441953</v>
      </c>
      <c r="M114" s="56">
        <f t="shared" si="64"/>
        <v>0</v>
      </c>
      <c r="N114" s="56">
        <f t="shared" si="65"/>
        <v>177.41800000000001</v>
      </c>
      <c r="O114" s="45">
        <f t="shared" si="66"/>
        <v>10397.038179129664</v>
      </c>
      <c r="P114" s="45">
        <f t="shared" si="67"/>
        <v>58.60193542441953</v>
      </c>
      <c r="S114" s="48">
        <f t="shared" si="41"/>
        <v>0</v>
      </c>
      <c r="T114" s="48">
        <f t="shared" si="70"/>
        <v>58.60193542441953</v>
      </c>
      <c r="U114" s="48">
        <f>([16]Compras!F28)/1000</f>
        <v>0</v>
      </c>
      <c r="V114" s="48">
        <f>([16]Compras!C28)/1000</f>
        <v>177.41800000000001</v>
      </c>
      <c r="W114" s="48">
        <f>([16]Compras!H28)/1000</f>
        <v>0</v>
      </c>
      <c r="X114" s="48">
        <f>([16]Compras!E28)/1000</f>
        <v>10397.038179129664</v>
      </c>
      <c r="Y114" s="48">
        <f>([16]Compras!K28)/1000</f>
        <v>0.61499999999999999</v>
      </c>
      <c r="Z114" s="48">
        <f t="shared" si="42"/>
        <v>10397.038179129664</v>
      </c>
      <c r="AA114" s="48">
        <f t="shared" si="43"/>
        <v>58.60193542441953</v>
      </c>
      <c r="AD114" s="44">
        <f>+INDEX([2]Precios!$B$9:$H$28,MATCH($J114,[2]Precios!$B$9:$B$28,0),7)</f>
        <v>5834.0982000000004</v>
      </c>
      <c r="AE114" s="44">
        <f>+INDEX([2]Precios!$B$9:$H$28,MATCH($J114,[2]Precios!$B$9:$B$28,0),6)</f>
        <v>60.933999999999997</v>
      </c>
      <c r="AF114" s="68">
        <f t="shared" si="46"/>
        <v>0</v>
      </c>
      <c r="AG114" s="68">
        <f t="shared" si="47"/>
        <v>177.41800000000001</v>
      </c>
      <c r="AH114" s="68">
        <f t="shared" si="48"/>
        <v>0</v>
      </c>
      <c r="AI114" s="68">
        <f t="shared" si="49"/>
        <v>10810.788412</v>
      </c>
      <c r="AJ114" s="68"/>
      <c r="AK114" s="69">
        <f t="shared" si="50"/>
        <v>10810.788412</v>
      </c>
      <c r="AL114" s="69">
        <f t="shared" si="51"/>
        <v>60.933999999999997</v>
      </c>
      <c r="AO114" s="44">
        <f t="shared" si="52"/>
        <v>-5834.0982000000004</v>
      </c>
      <c r="AP114" s="44">
        <f t="shared" si="53"/>
        <v>-2.3320645755804676</v>
      </c>
      <c r="AQ114" s="44">
        <f t="shared" si="54"/>
        <v>0</v>
      </c>
      <c r="AR114" s="44">
        <f t="shared" si="55"/>
        <v>0</v>
      </c>
      <c r="AS114" s="44">
        <f t="shared" si="56"/>
        <v>0</v>
      </c>
      <c r="AT114" s="44">
        <f t="shared" si="57"/>
        <v>413.75023287033582</v>
      </c>
      <c r="AU114" s="61">
        <f t="shared" si="58"/>
        <v>413.75023287033582</v>
      </c>
      <c r="AV114" s="44">
        <f t="shared" si="59"/>
        <v>-2.3320645755804676</v>
      </c>
      <c r="AY114" s="44"/>
      <c r="AZ114" s="44"/>
      <c r="BA114" s="44"/>
      <c r="BB114" s="44"/>
      <c r="BC114" s="44"/>
      <c r="BD114" s="44"/>
      <c r="BE114" s="44"/>
      <c r="BF114" s="44"/>
      <c r="BG114" s="44"/>
    </row>
    <row r="115" spans="2:59" hidden="1" x14ac:dyDescent="0.25">
      <c r="B115" s="43" t="s">
        <v>134</v>
      </c>
      <c r="C115" s="89" t="s">
        <v>149</v>
      </c>
      <c r="D115" s="47" t="s">
        <v>21</v>
      </c>
      <c r="E115" s="47">
        <v>220</v>
      </c>
      <c r="F115" s="47" t="s">
        <v>137</v>
      </c>
      <c r="G115" s="25" t="s">
        <v>154</v>
      </c>
      <c r="H115" s="26">
        <v>42736</v>
      </c>
      <c r="I115" s="26">
        <v>50040</v>
      </c>
      <c r="J115" s="16" t="str">
        <f t="shared" si="34"/>
        <v>Puerto Montt 220</v>
      </c>
      <c r="K115" s="44">
        <f t="shared" si="62"/>
        <v>0</v>
      </c>
      <c r="L115" s="44">
        <f t="shared" si="63"/>
        <v>59.490492355407248</v>
      </c>
      <c r="M115" s="56">
        <f t="shared" si="64"/>
        <v>0</v>
      </c>
      <c r="N115" s="56">
        <f t="shared" si="65"/>
        <v>25.577000000000002</v>
      </c>
      <c r="O115" s="45">
        <f t="shared" si="66"/>
        <v>1521.5883229742512</v>
      </c>
      <c r="P115" s="45">
        <f t="shared" si="67"/>
        <v>59.490492355407248</v>
      </c>
      <c r="S115" s="48">
        <f t="shared" si="41"/>
        <v>0</v>
      </c>
      <c r="T115" s="48">
        <f t="shared" si="70"/>
        <v>59.490492355407248</v>
      </c>
      <c r="U115" s="48">
        <f>([16]Compras!F29)/1000</f>
        <v>0</v>
      </c>
      <c r="V115" s="48">
        <f>([16]Compras!C29)/1000</f>
        <v>25.577000000000002</v>
      </c>
      <c r="W115" s="48">
        <f>([16]Compras!H29)/1000</f>
        <v>0</v>
      </c>
      <c r="X115" s="48">
        <f>([16]Compras!E29)/1000</f>
        <v>1521.5883229742512</v>
      </c>
      <c r="Y115" s="48">
        <f>([16]Compras!K29)/1000</f>
        <v>203.274</v>
      </c>
      <c r="Z115" s="48">
        <f t="shared" si="42"/>
        <v>1521.5883229742512</v>
      </c>
      <c r="AA115" s="48">
        <f t="shared" si="43"/>
        <v>59.490492355407248</v>
      </c>
      <c r="AD115" s="44">
        <f>+INDEX([2]Precios!$B$9:$H$28,MATCH($J115,[2]Precios!$B$9:$B$28,0),7)</f>
        <v>5921.3765999999996</v>
      </c>
      <c r="AE115" s="44">
        <f>+INDEX([2]Precios!$B$9:$H$28,MATCH($J115,[2]Precios!$B$9:$B$28,0),6)</f>
        <v>61.277000000000001</v>
      </c>
      <c r="AF115" s="68">
        <f t="shared" si="46"/>
        <v>0</v>
      </c>
      <c r="AG115" s="68">
        <f t="shared" si="47"/>
        <v>25.577000000000002</v>
      </c>
      <c r="AH115" s="68">
        <f t="shared" si="48"/>
        <v>0</v>
      </c>
      <c r="AI115" s="68">
        <f t="shared" si="49"/>
        <v>1567.2818290000002</v>
      </c>
      <c r="AJ115" s="68"/>
      <c r="AK115" s="69">
        <f t="shared" si="50"/>
        <v>1567.2818290000002</v>
      </c>
      <c r="AL115" s="69">
        <f t="shared" si="51"/>
        <v>61.277000000000008</v>
      </c>
      <c r="AO115" s="44">
        <f t="shared" si="52"/>
        <v>-5921.3765999999996</v>
      </c>
      <c r="AP115" s="44">
        <f t="shared" si="53"/>
        <v>-1.7865076445927528</v>
      </c>
      <c r="AQ115" s="44">
        <f t="shared" si="54"/>
        <v>0</v>
      </c>
      <c r="AR115" s="44">
        <f t="shared" si="55"/>
        <v>0</v>
      </c>
      <c r="AS115" s="44">
        <f t="shared" si="56"/>
        <v>0</v>
      </c>
      <c r="AT115" s="44">
        <f t="shared" si="57"/>
        <v>45.693506025749002</v>
      </c>
      <c r="AU115" s="61">
        <f t="shared" si="58"/>
        <v>45.693506025749002</v>
      </c>
      <c r="AV115" s="44">
        <f t="shared" si="59"/>
        <v>-1.7865076445927599</v>
      </c>
      <c r="AY115" s="44"/>
      <c r="AZ115" s="44"/>
      <c r="BA115" s="44"/>
      <c r="BB115" s="44"/>
      <c r="BC115" s="44"/>
      <c r="BD115" s="44"/>
      <c r="BE115" s="44"/>
      <c r="BF115" s="44"/>
      <c r="BG115" s="44"/>
    </row>
    <row r="116" spans="2:59" hidden="1" x14ac:dyDescent="0.25">
      <c r="B116" s="43" t="s">
        <v>134</v>
      </c>
      <c r="C116" s="89" t="s">
        <v>149</v>
      </c>
      <c r="D116" s="47" t="s">
        <v>17</v>
      </c>
      <c r="E116" s="47">
        <v>220</v>
      </c>
      <c r="F116" s="47" t="s">
        <v>137</v>
      </c>
      <c r="G116" s="25" t="s">
        <v>155</v>
      </c>
      <c r="H116" s="26">
        <v>42736</v>
      </c>
      <c r="I116" s="26">
        <v>50040</v>
      </c>
      <c r="J116" s="16" t="str">
        <f t="shared" si="34"/>
        <v>Valdivia 220</v>
      </c>
      <c r="K116" s="44">
        <f t="shared" si="62"/>
        <v>5344.8146009284173</v>
      </c>
      <c r="L116" s="44">
        <f t="shared" si="63"/>
        <v>58.023838144017873</v>
      </c>
      <c r="M116" s="56">
        <f t="shared" si="64"/>
        <v>0.11</v>
      </c>
      <c r="N116" s="56">
        <f t="shared" si="65"/>
        <v>13.222</v>
      </c>
      <c r="O116" s="45">
        <f t="shared" si="66"/>
        <v>1355.1207940423301</v>
      </c>
      <c r="P116" s="45">
        <f t="shared" si="67"/>
        <v>102.48984979899637</v>
      </c>
      <c r="S116" s="48">
        <f t="shared" si="41"/>
        <v>5344.8146009284173</v>
      </c>
      <c r="T116" s="48">
        <f t="shared" si="70"/>
        <v>58.023838144017873</v>
      </c>
      <c r="U116" s="48">
        <f>([16]Compras!F35)/1000</f>
        <v>0.11</v>
      </c>
      <c r="V116" s="48">
        <f>([16]Compras!C35)/1000</f>
        <v>13.222</v>
      </c>
      <c r="W116" s="48">
        <f>([16]Compras!H35)/1000</f>
        <v>587.92960610212594</v>
      </c>
      <c r="X116" s="48">
        <f>([16]Compras!E35)/1000</f>
        <v>767.19118794020426</v>
      </c>
      <c r="Y116" s="48">
        <f>([16]Compras!K35)/1000</f>
        <v>2E-3</v>
      </c>
      <c r="Z116" s="48">
        <f t="shared" si="42"/>
        <v>1355.1207940423301</v>
      </c>
      <c r="AA116" s="48">
        <f t="shared" si="43"/>
        <v>102.48984979899637</v>
      </c>
      <c r="AD116" s="44">
        <f>+INDEX([2]Precios!$B$9:$H$28,MATCH($J116,[2]Precios!$B$9:$B$28,0),7)</f>
        <v>5817.7003999999997</v>
      </c>
      <c r="AE116" s="44">
        <f>+INDEX([2]Precios!$B$9:$H$28,MATCH($J116,[2]Precios!$B$9:$B$28,0),6)</f>
        <v>60.298000000000002</v>
      </c>
      <c r="AF116" s="68">
        <f t="shared" si="46"/>
        <v>0.11</v>
      </c>
      <c r="AG116" s="68">
        <f t="shared" si="47"/>
        <v>13.222</v>
      </c>
      <c r="AH116" s="68">
        <f t="shared" si="48"/>
        <v>639.94704400000001</v>
      </c>
      <c r="AI116" s="68">
        <f t="shared" si="49"/>
        <v>797.26015600000005</v>
      </c>
      <c r="AJ116" s="68"/>
      <c r="AK116" s="69">
        <f t="shared" si="50"/>
        <v>1437.2072000000001</v>
      </c>
      <c r="AL116" s="69">
        <f t="shared" si="51"/>
        <v>108.69816971713811</v>
      </c>
      <c r="AO116" s="44">
        <f t="shared" si="52"/>
        <v>-472.88579907158237</v>
      </c>
      <c r="AP116" s="44">
        <f t="shared" si="53"/>
        <v>-2.2741618559821291</v>
      </c>
      <c r="AQ116" s="44">
        <f t="shared" si="54"/>
        <v>0</v>
      </c>
      <c r="AR116" s="44">
        <f t="shared" si="55"/>
        <v>0</v>
      </c>
      <c r="AS116" s="44">
        <f t="shared" si="56"/>
        <v>52.017437897874061</v>
      </c>
      <c r="AT116" s="44">
        <f t="shared" si="57"/>
        <v>30.068968059795793</v>
      </c>
      <c r="AU116" s="61">
        <f t="shared" si="58"/>
        <v>82.086405957669967</v>
      </c>
      <c r="AV116" s="44">
        <f t="shared" si="59"/>
        <v>-6.2083199181417399</v>
      </c>
      <c r="AY116" s="44"/>
      <c r="AZ116" s="44"/>
      <c r="BA116" s="44"/>
      <c r="BB116" s="44"/>
      <c r="BC116" s="44"/>
      <c r="BD116" s="44"/>
      <c r="BE116" s="44"/>
      <c r="BF116" s="44"/>
      <c r="BG116" s="44"/>
    </row>
    <row r="117" spans="2:59" hidden="1" x14ac:dyDescent="0.25">
      <c r="B117" s="43" t="s">
        <v>134</v>
      </c>
      <c r="C117" s="89" t="s">
        <v>149</v>
      </c>
      <c r="D117" s="47" t="s">
        <v>20</v>
      </c>
      <c r="E117" s="47">
        <v>220</v>
      </c>
      <c r="F117" s="47" t="s">
        <v>137</v>
      </c>
      <c r="G117" s="25" t="s">
        <v>155</v>
      </c>
      <c r="H117" s="26">
        <v>42736</v>
      </c>
      <c r="I117" s="26">
        <v>50040</v>
      </c>
      <c r="J117" s="16" t="str">
        <f t="shared" si="34"/>
        <v>Barro Blanco 220</v>
      </c>
      <c r="K117" s="44">
        <f t="shared" si="62"/>
        <v>5356.0965314844661</v>
      </c>
      <c r="L117" s="44">
        <f t="shared" si="63"/>
        <v>58.601935424419523</v>
      </c>
      <c r="M117" s="56">
        <f t="shared" si="64"/>
        <v>0.57499999999999996</v>
      </c>
      <c r="N117" s="56">
        <f t="shared" si="65"/>
        <v>72.06</v>
      </c>
      <c r="O117" s="45">
        <f t="shared" si="66"/>
        <v>7302.6109722872388</v>
      </c>
      <c r="P117" s="45">
        <f t="shared" si="67"/>
        <v>101.34070180803828</v>
      </c>
      <c r="S117" s="48">
        <f t="shared" si="41"/>
        <v>5356.0965314844661</v>
      </c>
      <c r="T117" s="48">
        <f t="shared" si="70"/>
        <v>58.601935424419523</v>
      </c>
      <c r="U117" s="48">
        <f>([16]Compras!F36)/1000</f>
        <v>0.57499999999999996</v>
      </c>
      <c r="V117" s="48">
        <f>([16]Compras!C36)/1000</f>
        <v>72.06</v>
      </c>
      <c r="W117" s="48">
        <f>([16]Compras!H36)/1000</f>
        <v>3079.7555056035681</v>
      </c>
      <c r="X117" s="48">
        <f>([16]Compras!E36)/1000</f>
        <v>4222.8554666836708</v>
      </c>
      <c r="Y117" s="48">
        <f>([16]Compras!K36)/1000</f>
        <v>0.24</v>
      </c>
      <c r="Z117" s="48">
        <f t="shared" si="42"/>
        <v>7302.6109722872388</v>
      </c>
      <c r="AA117" s="48">
        <f t="shared" si="43"/>
        <v>101.34070180803828</v>
      </c>
      <c r="AD117" s="44">
        <f>+INDEX([2]Precios!$B$9:$H$28,MATCH($J117,[2]Precios!$B$9:$B$28,0),7)</f>
        <v>5834.0982000000004</v>
      </c>
      <c r="AE117" s="44">
        <f>+INDEX([2]Precios!$B$9:$H$28,MATCH($J117,[2]Precios!$B$9:$B$28,0),6)</f>
        <v>60.933999999999997</v>
      </c>
      <c r="AF117" s="68">
        <f t="shared" si="46"/>
        <v>0.57499999999999996</v>
      </c>
      <c r="AG117" s="68">
        <f t="shared" si="47"/>
        <v>72.06</v>
      </c>
      <c r="AH117" s="68">
        <f t="shared" si="48"/>
        <v>3354.6064649999998</v>
      </c>
      <c r="AI117" s="68">
        <f t="shared" si="49"/>
        <v>4390.9040400000004</v>
      </c>
      <c r="AJ117" s="68"/>
      <c r="AK117" s="69">
        <f t="shared" si="50"/>
        <v>7745.5105050000002</v>
      </c>
      <c r="AL117" s="69">
        <f t="shared" si="51"/>
        <v>107.48696232306412</v>
      </c>
      <c r="AO117" s="44">
        <f t="shared" si="52"/>
        <v>-478.00166851553422</v>
      </c>
      <c r="AP117" s="44">
        <f t="shared" si="53"/>
        <v>-2.3320645755804748</v>
      </c>
      <c r="AQ117" s="44">
        <f t="shared" si="54"/>
        <v>0</v>
      </c>
      <c r="AR117" s="44">
        <f t="shared" si="55"/>
        <v>0</v>
      </c>
      <c r="AS117" s="44">
        <f t="shared" si="56"/>
        <v>274.85095939643224</v>
      </c>
      <c r="AT117" s="44">
        <f t="shared" si="57"/>
        <v>168.04857331632957</v>
      </c>
      <c r="AU117" s="61">
        <f t="shared" si="58"/>
        <v>442.89953271276136</v>
      </c>
      <c r="AV117" s="44">
        <f t="shared" si="59"/>
        <v>-6.146260515025844</v>
      </c>
      <c r="AY117" s="44"/>
      <c r="AZ117" s="44"/>
      <c r="BA117" s="44"/>
      <c r="BB117" s="44"/>
      <c r="BC117" s="44"/>
      <c r="BD117" s="44"/>
      <c r="BE117" s="44"/>
      <c r="BF117" s="44"/>
      <c r="BG117" s="44"/>
    </row>
    <row r="118" spans="2:59" hidden="1" x14ac:dyDescent="0.25">
      <c r="B118" s="43" t="s">
        <v>134</v>
      </c>
      <c r="C118" s="89" t="s">
        <v>149</v>
      </c>
      <c r="D118" s="47" t="s">
        <v>21</v>
      </c>
      <c r="E118" s="47">
        <v>220</v>
      </c>
      <c r="F118" s="47" t="s">
        <v>137</v>
      </c>
      <c r="G118" s="25" t="s">
        <v>155</v>
      </c>
      <c r="H118" s="26">
        <v>42736</v>
      </c>
      <c r="I118" s="26">
        <v>50040</v>
      </c>
      <c r="J118" s="16" t="str">
        <f t="shared" si="34"/>
        <v>Puerto Montt 220</v>
      </c>
      <c r="K118" s="44">
        <f t="shared" si="62"/>
        <v>5437.3264314880225</v>
      </c>
      <c r="L118" s="44">
        <f t="shared" si="63"/>
        <v>59.490492355407262</v>
      </c>
      <c r="M118" s="56">
        <f t="shared" si="64"/>
        <v>8.1000000000000003E-2</v>
      </c>
      <c r="N118" s="56">
        <f t="shared" si="65"/>
        <v>9.9979999999999993</v>
      </c>
      <c r="O118" s="45">
        <f t="shared" si="66"/>
        <v>1035.2093835198916</v>
      </c>
      <c r="P118" s="45">
        <f t="shared" si="67"/>
        <v>103.54164668132543</v>
      </c>
      <c r="S118" s="48">
        <f t="shared" si="41"/>
        <v>5437.3264314880225</v>
      </c>
      <c r="T118" s="48">
        <f t="shared" si="70"/>
        <v>59.490492355407262</v>
      </c>
      <c r="U118" s="48">
        <f>([16]Compras!F37)/1000</f>
        <v>8.1000000000000003E-2</v>
      </c>
      <c r="V118" s="48">
        <f>([16]Compras!C37)/1000</f>
        <v>9.9979999999999993</v>
      </c>
      <c r="W118" s="48">
        <f>([16]Compras!H37)/1000</f>
        <v>440.42344095052982</v>
      </c>
      <c r="X118" s="48">
        <f>([16]Compras!E37)/1000</f>
        <v>594.78594256936174</v>
      </c>
      <c r="Y118" s="48">
        <f>([16]Compras!K37)/1000</f>
        <v>82.561999999999998</v>
      </c>
      <c r="Z118" s="48">
        <f t="shared" si="42"/>
        <v>1035.2093835198916</v>
      </c>
      <c r="AA118" s="48">
        <f t="shared" si="43"/>
        <v>103.54164668132543</v>
      </c>
      <c r="AD118" s="44">
        <f>+INDEX([2]Precios!$B$9:$H$28,MATCH($J118,[2]Precios!$B$9:$B$28,0),7)</f>
        <v>5921.3765999999996</v>
      </c>
      <c r="AE118" s="44">
        <f>+INDEX([2]Precios!$B$9:$H$28,MATCH($J118,[2]Precios!$B$9:$B$28,0),6)</f>
        <v>61.277000000000001</v>
      </c>
      <c r="AF118" s="68">
        <f t="shared" si="46"/>
        <v>8.1000000000000003E-2</v>
      </c>
      <c r="AG118" s="68">
        <f t="shared" si="47"/>
        <v>9.9979999999999993</v>
      </c>
      <c r="AH118" s="68">
        <f t="shared" si="48"/>
        <v>479.63150459999997</v>
      </c>
      <c r="AI118" s="68">
        <f t="shared" si="49"/>
        <v>612.64744599999995</v>
      </c>
      <c r="AJ118" s="68"/>
      <c r="AK118" s="69">
        <f t="shared" si="50"/>
        <v>1092.2789505999999</v>
      </c>
      <c r="AL118" s="69">
        <f t="shared" si="51"/>
        <v>109.2497450090018</v>
      </c>
      <c r="AO118" s="44">
        <f t="shared" si="52"/>
        <v>-484.05016851197706</v>
      </c>
      <c r="AP118" s="44">
        <f t="shared" si="53"/>
        <v>-1.7865076445927386</v>
      </c>
      <c r="AQ118" s="44">
        <f t="shared" si="54"/>
        <v>0</v>
      </c>
      <c r="AR118" s="44">
        <f t="shared" si="55"/>
        <v>0</v>
      </c>
      <c r="AS118" s="44">
        <f t="shared" si="56"/>
        <v>39.208063649470148</v>
      </c>
      <c r="AT118" s="44">
        <f t="shared" si="57"/>
        <v>17.861503430638209</v>
      </c>
      <c r="AU118" s="61">
        <f t="shared" si="58"/>
        <v>57.0695670801083</v>
      </c>
      <c r="AV118" s="44">
        <f t="shared" si="59"/>
        <v>-5.7080983276763675</v>
      </c>
      <c r="AY118" s="44"/>
      <c r="AZ118" s="44"/>
      <c r="BA118" s="44"/>
      <c r="BB118" s="44"/>
      <c r="BC118" s="44"/>
      <c r="BD118" s="44"/>
      <c r="BE118" s="44"/>
      <c r="BF118" s="44"/>
      <c r="BG118" s="44"/>
    </row>
    <row r="119" spans="2:59" hidden="1" x14ac:dyDescent="0.25">
      <c r="B119" s="43" t="s">
        <v>134</v>
      </c>
      <c r="C119" s="47" t="s">
        <v>147</v>
      </c>
      <c r="D119" s="47" t="s">
        <v>20</v>
      </c>
      <c r="E119" s="47">
        <v>220</v>
      </c>
      <c r="F119" s="47" t="s">
        <v>137</v>
      </c>
      <c r="G119" s="25" t="s">
        <v>153</v>
      </c>
      <c r="H119" s="26">
        <v>42736</v>
      </c>
      <c r="I119" s="26">
        <v>50040</v>
      </c>
      <c r="J119" s="16" t="str">
        <f t="shared" si="34"/>
        <v>Barro Blanco 220</v>
      </c>
      <c r="K119" s="44">
        <f t="shared" si="62"/>
        <v>0</v>
      </c>
      <c r="L119" s="44">
        <f t="shared" si="63"/>
        <v>58.601999999999997</v>
      </c>
      <c r="M119" s="56">
        <f t="shared" si="64"/>
        <v>0</v>
      </c>
      <c r="N119" s="56">
        <f t="shared" si="65"/>
        <v>0.407169</v>
      </c>
      <c r="O119" s="45">
        <f t="shared" si="66"/>
        <v>23.860917737999998</v>
      </c>
      <c r="P119" s="45">
        <f t="shared" si="67"/>
        <v>58.601999999999997</v>
      </c>
      <c r="S119" s="48">
        <f t="shared" si="41"/>
        <v>0</v>
      </c>
      <c r="T119" s="48">
        <f>[17]RESULTADOS!E61</f>
        <v>58.601999999999997</v>
      </c>
      <c r="U119" s="48">
        <v>0</v>
      </c>
      <c r="V119" s="50">
        <f>([17]RESULTADOS!$C$61)/1000</f>
        <v>0.407169</v>
      </c>
      <c r="W119" s="48">
        <v>0</v>
      </c>
      <c r="X119" s="51">
        <f t="shared" ref="X119:X124" si="71">+T119*V119</f>
        <v>23.860917737999998</v>
      </c>
      <c r="Y119" s="48">
        <v>0</v>
      </c>
      <c r="Z119" s="48">
        <f>+S119*U119+T119*V119</f>
        <v>23.860917737999998</v>
      </c>
      <c r="AA119" s="48">
        <f>+Z119/V119</f>
        <v>58.601999999999997</v>
      </c>
      <c r="AD119" s="44">
        <f>+INDEX([2]Precios!$B$9:$H$28,MATCH($J119,[2]Precios!$B$9:$B$28,0),7)</f>
        <v>5834.0982000000004</v>
      </c>
      <c r="AE119" s="44">
        <f>+INDEX([2]Precios!$B$9:$H$28,MATCH($J119,[2]Precios!$B$9:$B$28,0),6)</f>
        <v>60.933999999999997</v>
      </c>
      <c r="AF119" s="68">
        <f t="shared" si="46"/>
        <v>0</v>
      </c>
      <c r="AG119" s="68">
        <f t="shared" si="47"/>
        <v>0.407169</v>
      </c>
      <c r="AH119" s="68">
        <f t="shared" si="48"/>
        <v>0</v>
      </c>
      <c r="AI119" s="68">
        <f t="shared" si="49"/>
        <v>24.810435846000001</v>
      </c>
      <c r="AJ119" s="68"/>
      <c r="AK119" s="69">
        <f t="shared" si="50"/>
        <v>24.810435846000001</v>
      </c>
      <c r="AL119" s="69">
        <f t="shared" si="51"/>
        <v>60.934000000000005</v>
      </c>
      <c r="AO119" s="44">
        <f t="shared" si="52"/>
        <v>-5834.0982000000004</v>
      </c>
      <c r="AP119" s="44">
        <f t="shared" si="53"/>
        <v>-2.3320000000000007</v>
      </c>
      <c r="AQ119" s="44">
        <f t="shared" si="54"/>
        <v>0</v>
      </c>
      <c r="AR119" s="44">
        <f t="shared" si="55"/>
        <v>0</v>
      </c>
      <c r="AS119" s="44">
        <f t="shared" si="56"/>
        <v>0</v>
      </c>
      <c r="AT119" s="44">
        <f t="shared" si="57"/>
        <v>0.94951810800000302</v>
      </c>
      <c r="AU119" s="61">
        <f t="shared" si="58"/>
        <v>0.94951810800000302</v>
      </c>
      <c r="AV119" s="44">
        <f t="shared" si="59"/>
        <v>-2.3320000000000078</v>
      </c>
      <c r="AY119" s="44"/>
      <c r="AZ119" s="44"/>
      <c r="BA119" s="44"/>
      <c r="BB119" s="44"/>
      <c r="BC119" s="44"/>
      <c r="BD119" s="44"/>
      <c r="BE119" s="44"/>
      <c r="BF119" s="44"/>
      <c r="BG119" s="44"/>
    </row>
    <row r="120" spans="2:59" hidden="1" x14ac:dyDescent="0.25">
      <c r="B120" s="43" t="s">
        <v>134</v>
      </c>
      <c r="C120" s="47" t="s">
        <v>147</v>
      </c>
      <c r="D120" s="47" t="s">
        <v>21</v>
      </c>
      <c r="E120" s="47">
        <v>220</v>
      </c>
      <c r="F120" s="47" t="s">
        <v>137</v>
      </c>
      <c r="G120" s="25" t="s">
        <v>153</v>
      </c>
      <c r="H120" s="26">
        <v>42736</v>
      </c>
      <c r="I120" s="26">
        <v>50040</v>
      </c>
      <c r="J120" s="16" t="str">
        <f t="shared" si="34"/>
        <v>Puerto Montt 220</v>
      </c>
      <c r="K120" s="44">
        <f t="shared" si="62"/>
        <v>0</v>
      </c>
      <c r="L120" s="44">
        <f t="shared" si="63"/>
        <v>59.49</v>
      </c>
      <c r="M120" s="56">
        <f t="shared" si="64"/>
        <v>0</v>
      </c>
      <c r="N120" s="56">
        <f t="shared" si="65"/>
        <v>3.3749189999999998</v>
      </c>
      <c r="O120" s="45">
        <f t="shared" si="66"/>
        <v>200.77393130999999</v>
      </c>
      <c r="P120" s="45">
        <f t="shared" si="67"/>
        <v>59.49</v>
      </c>
      <c r="S120" s="48">
        <f t="shared" si="41"/>
        <v>0</v>
      </c>
      <c r="T120" s="48">
        <f>[17]RESULTADOS!F61</f>
        <v>59.49</v>
      </c>
      <c r="U120" s="48">
        <v>0</v>
      </c>
      <c r="V120" s="50">
        <f>([17]RESULTADOS!$D$61)/1000</f>
        <v>3.3749189999999998</v>
      </c>
      <c r="W120" s="48">
        <v>0</v>
      </c>
      <c r="X120" s="51">
        <f t="shared" si="71"/>
        <v>200.77393130999999</v>
      </c>
      <c r="Y120" s="48">
        <v>0</v>
      </c>
      <c r="Z120" s="48">
        <f>+S120*U120+T120*V120</f>
        <v>200.77393130999999</v>
      </c>
      <c r="AA120" s="48">
        <f>+Z120/V120</f>
        <v>59.49</v>
      </c>
      <c r="AD120" s="44">
        <f>+INDEX([2]Precios!$B$9:$H$28,MATCH($J120,[2]Precios!$B$9:$B$28,0),7)</f>
        <v>5921.3765999999996</v>
      </c>
      <c r="AE120" s="44">
        <f>+INDEX([2]Precios!$B$9:$H$28,MATCH($J120,[2]Precios!$B$9:$B$28,0),6)</f>
        <v>61.277000000000001</v>
      </c>
      <c r="AF120" s="68">
        <f t="shared" si="46"/>
        <v>0</v>
      </c>
      <c r="AG120" s="68">
        <f t="shared" si="47"/>
        <v>3.3749189999999998</v>
      </c>
      <c r="AH120" s="68">
        <f t="shared" si="48"/>
        <v>0</v>
      </c>
      <c r="AI120" s="68">
        <f t="shared" si="49"/>
        <v>206.80491156299999</v>
      </c>
      <c r="AJ120" s="68"/>
      <c r="AK120" s="69">
        <f t="shared" si="50"/>
        <v>206.80491156299999</v>
      </c>
      <c r="AL120" s="69">
        <f t="shared" si="51"/>
        <v>61.277000000000001</v>
      </c>
      <c r="AO120" s="44">
        <f t="shared" si="52"/>
        <v>-5921.3765999999996</v>
      </c>
      <c r="AP120" s="44">
        <f t="shared" si="53"/>
        <v>-1.786999999999999</v>
      </c>
      <c r="AQ120" s="44">
        <f t="shared" si="54"/>
        <v>0</v>
      </c>
      <c r="AR120" s="44">
        <f t="shared" si="55"/>
        <v>0</v>
      </c>
      <c r="AS120" s="44">
        <f t="shared" si="56"/>
        <v>0</v>
      </c>
      <c r="AT120" s="44">
        <f t="shared" si="57"/>
        <v>6.0309802529999956</v>
      </c>
      <c r="AU120" s="61">
        <f t="shared" si="58"/>
        <v>6.0309802529999956</v>
      </c>
      <c r="AV120" s="44">
        <f t="shared" si="59"/>
        <v>-1.786999999999999</v>
      </c>
      <c r="AY120" s="44"/>
      <c r="AZ120" s="44"/>
      <c r="BA120" s="44"/>
      <c r="BB120" s="44"/>
      <c r="BC120" s="44"/>
      <c r="BD120" s="44"/>
      <c r="BE120" s="44"/>
      <c r="BF120" s="44"/>
      <c r="BG120" s="44"/>
    </row>
    <row r="121" spans="2:59" hidden="1" x14ac:dyDescent="0.25">
      <c r="B121" s="43" t="s">
        <v>134</v>
      </c>
      <c r="C121" s="47" t="s">
        <v>147</v>
      </c>
      <c r="D121" s="47" t="s">
        <v>20</v>
      </c>
      <c r="E121" s="47">
        <v>220</v>
      </c>
      <c r="F121" s="47" t="s">
        <v>137</v>
      </c>
      <c r="G121" s="25" t="s">
        <v>154</v>
      </c>
      <c r="H121" s="26">
        <v>42736</v>
      </c>
      <c r="I121" s="26">
        <v>50040</v>
      </c>
      <c r="J121" s="16" t="str">
        <f t="shared" si="34"/>
        <v>Barro Blanco 220</v>
      </c>
      <c r="K121" s="44">
        <f t="shared" si="62"/>
        <v>0</v>
      </c>
      <c r="L121" s="44">
        <f t="shared" si="63"/>
        <v>58.601999999999997</v>
      </c>
      <c r="M121" s="56">
        <f t="shared" si="64"/>
        <v>0</v>
      </c>
      <c r="N121" s="56">
        <f t="shared" si="65"/>
        <v>0.50730874905737866</v>
      </c>
      <c r="O121" s="45">
        <f t="shared" si="66"/>
        <v>29.729307312260502</v>
      </c>
      <c r="P121" s="45">
        <f t="shared" si="67"/>
        <v>58.601999999999997</v>
      </c>
      <c r="S121" s="48">
        <f t="shared" si="41"/>
        <v>0</v>
      </c>
      <c r="T121" s="48">
        <f>+T119</f>
        <v>58.601999999999997</v>
      </c>
      <c r="U121" s="48">
        <v>0</v>
      </c>
      <c r="V121" s="50">
        <f>([17]RESULTADOS!$C$65)/1000</f>
        <v>0.50730874905737866</v>
      </c>
      <c r="W121" s="48">
        <v>0</v>
      </c>
      <c r="X121" s="52">
        <f t="shared" si="71"/>
        <v>29.729307312260502</v>
      </c>
      <c r="Y121" s="48">
        <v>0</v>
      </c>
      <c r="Z121" s="48">
        <f t="shared" si="42"/>
        <v>29.729307312260502</v>
      </c>
      <c r="AA121" s="48">
        <f t="shared" si="43"/>
        <v>58.601999999999997</v>
      </c>
      <c r="AD121" s="44">
        <f>+INDEX([2]Precios!$B$9:$H$28,MATCH($J121,[2]Precios!$B$9:$B$28,0),7)</f>
        <v>5834.0982000000004</v>
      </c>
      <c r="AE121" s="44">
        <f>+INDEX([2]Precios!$B$9:$H$28,MATCH($J121,[2]Precios!$B$9:$B$28,0),6)</f>
        <v>60.933999999999997</v>
      </c>
      <c r="AF121" s="68">
        <f t="shared" si="46"/>
        <v>0</v>
      </c>
      <c r="AG121" s="68">
        <f t="shared" si="47"/>
        <v>0.50730874905737866</v>
      </c>
      <c r="AH121" s="68">
        <f t="shared" si="48"/>
        <v>0</v>
      </c>
      <c r="AI121" s="68">
        <f t="shared" si="49"/>
        <v>30.91235131506231</v>
      </c>
      <c r="AJ121" s="68"/>
      <c r="AK121" s="69">
        <f t="shared" si="50"/>
        <v>30.91235131506231</v>
      </c>
      <c r="AL121" s="69">
        <f t="shared" si="51"/>
        <v>60.933999999999997</v>
      </c>
      <c r="AO121" s="44">
        <f t="shared" si="52"/>
        <v>-5834.0982000000004</v>
      </c>
      <c r="AP121" s="44">
        <f t="shared" si="53"/>
        <v>-2.3320000000000007</v>
      </c>
      <c r="AQ121" s="44">
        <f t="shared" si="54"/>
        <v>0</v>
      </c>
      <c r="AR121" s="44">
        <f t="shared" si="55"/>
        <v>0</v>
      </c>
      <c r="AS121" s="44">
        <f t="shared" si="56"/>
        <v>0</v>
      </c>
      <c r="AT121" s="44">
        <f t="shared" si="57"/>
        <v>1.1830440028018074</v>
      </c>
      <c r="AU121" s="61">
        <f t="shared" si="58"/>
        <v>1.1830440028018074</v>
      </c>
      <c r="AV121" s="44">
        <f t="shared" si="59"/>
        <v>-2.3320000000000007</v>
      </c>
      <c r="AY121" s="44"/>
      <c r="AZ121" s="44"/>
      <c r="BA121" s="44"/>
      <c r="BB121" s="44"/>
      <c r="BC121" s="44"/>
      <c r="BD121" s="44"/>
      <c r="BE121" s="44"/>
      <c r="BF121" s="44"/>
      <c r="BG121" s="44"/>
    </row>
    <row r="122" spans="2:59" hidden="1" x14ac:dyDescent="0.25">
      <c r="B122" s="43" t="s">
        <v>134</v>
      </c>
      <c r="C122" s="47" t="s">
        <v>147</v>
      </c>
      <c r="D122" s="47" t="s">
        <v>21</v>
      </c>
      <c r="E122" s="47">
        <v>220</v>
      </c>
      <c r="F122" s="47" t="s">
        <v>137</v>
      </c>
      <c r="G122" s="25" t="s">
        <v>154</v>
      </c>
      <c r="H122" s="26">
        <v>42736</v>
      </c>
      <c r="I122" s="26">
        <v>50040</v>
      </c>
      <c r="J122" s="16" t="str">
        <f t="shared" si="34"/>
        <v>Puerto Montt 220</v>
      </c>
      <c r="K122" s="44">
        <f t="shared" si="62"/>
        <v>0</v>
      </c>
      <c r="L122" s="44">
        <f t="shared" si="63"/>
        <v>59.49</v>
      </c>
      <c r="M122" s="56">
        <f t="shared" si="64"/>
        <v>0</v>
      </c>
      <c r="N122" s="56">
        <f t="shared" si="65"/>
        <v>4.1028479999999998</v>
      </c>
      <c r="O122" s="45">
        <f t="shared" si="66"/>
        <v>244.07842751999999</v>
      </c>
      <c r="P122" s="45">
        <f t="shared" si="67"/>
        <v>59.49</v>
      </c>
      <c r="S122" s="48">
        <f t="shared" si="41"/>
        <v>0</v>
      </c>
      <c r="T122" s="48">
        <f>+T120</f>
        <v>59.49</v>
      </c>
      <c r="U122" s="48">
        <v>0</v>
      </c>
      <c r="V122" s="50">
        <f>([17]RESULTADOS!$D$65)/1000</f>
        <v>4.1028479999999998</v>
      </c>
      <c r="W122" s="48">
        <v>0</v>
      </c>
      <c r="X122" s="52">
        <f t="shared" si="71"/>
        <v>244.07842751999999</v>
      </c>
      <c r="Y122" s="48">
        <v>0</v>
      </c>
      <c r="Z122" s="48">
        <f t="shared" si="42"/>
        <v>244.07842751999999</v>
      </c>
      <c r="AA122" s="48">
        <f t="shared" si="43"/>
        <v>59.49</v>
      </c>
      <c r="AD122" s="44">
        <f>+INDEX([2]Precios!$B$9:$H$28,MATCH($J122,[2]Precios!$B$9:$B$28,0),7)</f>
        <v>5921.3765999999996</v>
      </c>
      <c r="AE122" s="44">
        <f>+INDEX([2]Precios!$B$9:$H$28,MATCH($J122,[2]Precios!$B$9:$B$28,0),6)</f>
        <v>61.277000000000001</v>
      </c>
      <c r="AF122" s="68">
        <f t="shared" si="46"/>
        <v>0</v>
      </c>
      <c r="AG122" s="68">
        <f t="shared" si="47"/>
        <v>4.1028479999999998</v>
      </c>
      <c r="AH122" s="68">
        <f t="shared" si="48"/>
        <v>0</v>
      </c>
      <c r="AI122" s="68">
        <f t="shared" si="49"/>
        <v>251.41021689599998</v>
      </c>
      <c r="AJ122" s="68"/>
      <c r="AK122" s="69">
        <f t="shared" si="50"/>
        <v>251.41021689599998</v>
      </c>
      <c r="AL122" s="69">
        <f t="shared" si="51"/>
        <v>61.277000000000001</v>
      </c>
      <c r="AO122" s="44">
        <f t="shared" si="52"/>
        <v>-5921.3765999999996</v>
      </c>
      <c r="AP122" s="44">
        <f t="shared" si="53"/>
        <v>-1.786999999999999</v>
      </c>
      <c r="AQ122" s="44">
        <f t="shared" si="54"/>
        <v>0</v>
      </c>
      <c r="AR122" s="44">
        <f t="shared" si="55"/>
        <v>0</v>
      </c>
      <c r="AS122" s="44">
        <f t="shared" si="56"/>
        <v>0</v>
      </c>
      <c r="AT122" s="44">
        <f t="shared" si="57"/>
        <v>7.331789375999989</v>
      </c>
      <c r="AU122" s="61">
        <f t="shared" si="58"/>
        <v>7.331789375999989</v>
      </c>
      <c r="AV122" s="44">
        <f t="shared" si="59"/>
        <v>-1.786999999999999</v>
      </c>
      <c r="AY122" s="44"/>
      <c r="AZ122" s="44"/>
      <c r="BA122" s="44"/>
      <c r="BB122" s="44"/>
      <c r="BC122" s="44"/>
      <c r="BD122" s="44"/>
      <c r="BE122" s="44"/>
      <c r="BF122" s="44"/>
      <c r="BG122" s="44"/>
    </row>
    <row r="123" spans="2:59" hidden="1" x14ac:dyDescent="0.25">
      <c r="B123" s="43" t="s">
        <v>134</v>
      </c>
      <c r="C123" s="47" t="s">
        <v>147</v>
      </c>
      <c r="D123" s="47" t="s">
        <v>20</v>
      </c>
      <c r="E123" s="47">
        <v>220</v>
      </c>
      <c r="F123" s="47" t="s">
        <v>137</v>
      </c>
      <c r="G123" s="25" t="s">
        <v>155</v>
      </c>
      <c r="H123" s="26">
        <v>42736</v>
      </c>
      <c r="I123" s="26">
        <v>50040</v>
      </c>
      <c r="J123" s="16" t="str">
        <f t="shared" si="34"/>
        <v>Barro Blanco 220</v>
      </c>
      <c r="K123" s="44">
        <f t="shared" si="62"/>
        <v>5356.1081999999997</v>
      </c>
      <c r="L123" s="44">
        <f t="shared" si="63"/>
        <v>58.601999999999997</v>
      </c>
      <c r="M123" s="56">
        <f t="shared" si="64"/>
        <v>2.3599999999999997E-3</v>
      </c>
      <c r="N123" s="56">
        <f t="shared" si="65"/>
        <v>0.30083599999999999</v>
      </c>
      <c r="O123" s="45">
        <f t="shared" si="66"/>
        <v>30.270006623999997</v>
      </c>
      <c r="P123" s="45">
        <f t="shared" si="67"/>
        <v>100.6196287146485</v>
      </c>
      <c r="S123" s="52">
        <f>+[17]RESULTADOS!$I$67</f>
        <v>5356.1081999999997</v>
      </c>
      <c r="T123" s="52">
        <f>+T121</f>
        <v>58.601999999999997</v>
      </c>
      <c r="U123" s="52">
        <f>([17]RESULTADOS!G67)/1000</f>
        <v>2.3599999999999997E-3</v>
      </c>
      <c r="V123" s="51">
        <f>([17]RESULTADOS!$C$67)/1000</f>
        <v>0.30083599999999999</v>
      </c>
      <c r="W123" s="52">
        <f>+S123*U123</f>
        <v>12.640415351999998</v>
      </c>
      <c r="X123" s="52">
        <f t="shared" si="71"/>
        <v>17.629591271999999</v>
      </c>
      <c r="Y123" s="52">
        <v>0</v>
      </c>
      <c r="Z123" s="52">
        <f t="shared" si="42"/>
        <v>30.270006623999997</v>
      </c>
      <c r="AA123" s="52">
        <f t="shared" si="43"/>
        <v>100.6196287146485</v>
      </c>
      <c r="AD123" s="44">
        <f>+INDEX([2]Precios!$B$9:$H$28,MATCH($J123,[2]Precios!$B$9:$B$28,0),7)</f>
        <v>5834.0982000000004</v>
      </c>
      <c r="AE123" s="44">
        <f>+INDEX([2]Precios!$B$9:$H$28,MATCH($J123,[2]Precios!$B$9:$B$28,0),6)</f>
        <v>60.933999999999997</v>
      </c>
      <c r="AF123" s="68">
        <f t="shared" si="46"/>
        <v>2.3599999999999997E-3</v>
      </c>
      <c r="AG123" s="68">
        <f t="shared" si="47"/>
        <v>0.30083599999999999</v>
      </c>
      <c r="AH123" s="68">
        <f t="shared" si="48"/>
        <v>13.768471751999998</v>
      </c>
      <c r="AI123" s="68">
        <f t="shared" si="49"/>
        <v>18.331140823999998</v>
      </c>
      <c r="AJ123" s="68"/>
      <c r="AK123" s="69">
        <f t="shared" si="50"/>
        <v>32.099612575999998</v>
      </c>
      <c r="AL123" s="69">
        <f t="shared" si="51"/>
        <v>106.70136744272627</v>
      </c>
      <c r="AO123" s="44">
        <f t="shared" si="52"/>
        <v>-477.99000000000069</v>
      </c>
      <c r="AP123" s="44">
        <f t="shared" si="53"/>
        <v>-2.3320000000000007</v>
      </c>
      <c r="AQ123" s="44">
        <f t="shared" si="54"/>
        <v>0</v>
      </c>
      <c r="AR123" s="44">
        <f t="shared" si="55"/>
        <v>0</v>
      </c>
      <c r="AS123" s="44">
        <f t="shared" si="56"/>
        <v>1.1280564000000002</v>
      </c>
      <c r="AT123" s="44">
        <f t="shared" si="57"/>
        <v>0.70154955199999947</v>
      </c>
      <c r="AU123" s="61">
        <f t="shared" si="58"/>
        <v>1.8296059520000014</v>
      </c>
      <c r="AV123" s="44">
        <f t="shared" si="59"/>
        <v>-6.0817387280777666</v>
      </c>
      <c r="AY123" s="44"/>
      <c r="AZ123" s="44"/>
      <c r="BA123" s="44"/>
      <c r="BB123" s="44"/>
      <c r="BC123" s="44"/>
      <c r="BD123" s="44"/>
      <c r="BE123" s="44"/>
      <c r="BF123" s="44"/>
      <c r="BG123" s="44"/>
    </row>
    <row r="124" spans="2:59" hidden="1" x14ac:dyDescent="0.25">
      <c r="B124" s="43" t="s">
        <v>134</v>
      </c>
      <c r="C124" s="47" t="s">
        <v>147</v>
      </c>
      <c r="D124" s="47" t="s">
        <v>21</v>
      </c>
      <c r="E124" s="47">
        <v>220</v>
      </c>
      <c r="F124" s="47" t="s">
        <v>137</v>
      </c>
      <c r="G124" s="25" t="s">
        <v>155</v>
      </c>
      <c r="H124" s="26">
        <v>42736</v>
      </c>
      <c r="I124" s="26">
        <v>50040</v>
      </c>
      <c r="J124" s="16" t="str">
        <f t="shared" si="34"/>
        <v>Puerto Montt 220</v>
      </c>
      <c r="K124" s="44">
        <f t="shared" si="62"/>
        <v>5437.3720000000003</v>
      </c>
      <c r="L124" s="44">
        <f t="shared" si="63"/>
        <v>59.49</v>
      </c>
      <c r="M124" s="56">
        <f t="shared" si="64"/>
        <v>2.0799999999999999E-2</v>
      </c>
      <c r="N124" s="56">
        <f t="shared" si="65"/>
        <v>2.6557230000000001</v>
      </c>
      <c r="O124" s="45">
        <f t="shared" si="66"/>
        <v>271.08629887000001</v>
      </c>
      <c r="P124" s="45">
        <f t="shared" si="67"/>
        <v>102.07627033015115</v>
      </c>
      <c r="S124" s="52">
        <f>+[17]RESULTADOS!$J$67</f>
        <v>5437.3720000000003</v>
      </c>
      <c r="T124" s="52">
        <f>+T122</f>
        <v>59.49</v>
      </c>
      <c r="U124" s="52">
        <f>([17]RESULTADOS!H67)/1000</f>
        <v>2.0799999999999999E-2</v>
      </c>
      <c r="V124" s="51">
        <f>([17]RESULTADOS!$D$67)/1000</f>
        <v>2.6557230000000001</v>
      </c>
      <c r="W124" s="52">
        <f>+S124*U124</f>
        <v>113.0973376</v>
      </c>
      <c r="X124" s="52">
        <f t="shared" si="71"/>
        <v>157.98896127</v>
      </c>
      <c r="Y124" s="52">
        <v>0</v>
      </c>
      <c r="Z124" s="52">
        <f t="shared" si="42"/>
        <v>271.08629887000001</v>
      </c>
      <c r="AA124" s="52">
        <f t="shared" si="43"/>
        <v>102.07627033015115</v>
      </c>
      <c r="AD124" s="44">
        <f>+INDEX([2]Precios!$B$9:$H$28,MATCH($J124,[2]Precios!$B$9:$B$28,0),7)</f>
        <v>5921.3765999999996</v>
      </c>
      <c r="AE124" s="44">
        <f>+INDEX([2]Precios!$B$9:$H$28,MATCH($J124,[2]Precios!$B$9:$B$28,0),6)</f>
        <v>61.277000000000001</v>
      </c>
      <c r="AF124" s="68">
        <f t="shared" si="46"/>
        <v>2.0799999999999999E-2</v>
      </c>
      <c r="AG124" s="68">
        <f t="shared" si="47"/>
        <v>2.6557230000000001</v>
      </c>
      <c r="AH124" s="68">
        <f t="shared" si="48"/>
        <v>123.16463327999999</v>
      </c>
      <c r="AI124" s="68">
        <f t="shared" si="49"/>
        <v>162.734738271</v>
      </c>
      <c r="AJ124" s="68"/>
      <c r="AK124" s="69">
        <f t="shared" si="50"/>
        <v>285.899371551</v>
      </c>
      <c r="AL124" s="69">
        <f t="shared" si="51"/>
        <v>107.65406315003484</v>
      </c>
      <c r="AO124" s="44">
        <f t="shared" si="52"/>
        <v>-484.0045999999993</v>
      </c>
      <c r="AP124" s="44">
        <f t="shared" si="53"/>
        <v>-1.786999999999999</v>
      </c>
      <c r="AQ124" s="44">
        <f t="shared" si="54"/>
        <v>0</v>
      </c>
      <c r="AR124" s="44">
        <f t="shared" si="55"/>
        <v>0</v>
      </c>
      <c r="AS124" s="44">
        <f t="shared" si="56"/>
        <v>10.067295679999987</v>
      </c>
      <c r="AT124" s="44">
        <f t="shared" si="57"/>
        <v>4.7457770009999933</v>
      </c>
      <c r="AU124" s="61">
        <f t="shared" si="58"/>
        <v>14.813072680999994</v>
      </c>
      <c r="AV124" s="44">
        <f t="shared" si="59"/>
        <v>-5.5777928198836975</v>
      </c>
      <c r="AY124" s="44"/>
      <c r="AZ124" s="44"/>
      <c r="BA124" s="44"/>
      <c r="BB124" s="44"/>
      <c r="BC124" s="44"/>
      <c r="BD124" s="44"/>
      <c r="BE124" s="44"/>
      <c r="BF124" s="44"/>
      <c r="BG124" s="44"/>
    </row>
  </sheetData>
  <autoFilter ref="B7:BG124">
    <filterColumn colId="1">
      <filters>
        <filter val="Copelec"/>
      </filters>
    </filterColumn>
  </autoFilter>
  <conditionalFormatting sqref="AU8:AU124">
    <cfRule type="cellIs" dxfId="11" priority="1" operator="greaterThan">
      <formula>0</formula>
    </cfRule>
    <cfRule type="cellIs" dxfId="10" priority="2" operator="lessThan">
      <formula>0</formula>
    </cfRule>
  </conditionalFormatting>
  <hyperlinks>
    <hyperlink ref="B4" location="Cuadro3!B4" display="Mensual"/>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F21"/>
  <sheetViews>
    <sheetView workbookViewId="0">
      <selection activeCell="E18" sqref="E18"/>
    </sheetView>
  </sheetViews>
  <sheetFormatPr defaultRowHeight="12.75" x14ac:dyDescent="0.2"/>
  <cols>
    <col min="3" max="3" width="9.7109375" bestFit="1" customWidth="1"/>
    <col min="4" max="4" width="11.5703125" bestFit="1" customWidth="1"/>
    <col min="5" max="5" width="13.85546875" bestFit="1" customWidth="1"/>
  </cols>
  <sheetData>
    <row r="7" spans="3:6" x14ac:dyDescent="0.2">
      <c r="C7" s="64" t="s">
        <v>143</v>
      </c>
      <c r="D7" s="66" t="s">
        <v>156</v>
      </c>
      <c r="E7" s="66" t="s">
        <v>158</v>
      </c>
    </row>
    <row r="8" spans="3:6" x14ac:dyDescent="0.2">
      <c r="C8" s="63" t="s">
        <v>148</v>
      </c>
      <c r="D8" s="65">
        <f>+SUMIF('Tabla N°3'!$C$8:$C$124,"="&amp;Comprobaciones!$C8,'Tabla N°3'!$W$8:$W$124)+SUMIF('Tabla N°3'!$C$8:$C$124,"="&amp;Comprobaciones!$C8,'Tabla N°3'!$X$8:$X$124)+SUMIF('Tabla N°3'!$C$8:$C$124,"="&amp;Comprobaciones!$C8,'Tabla N°3'!$Y$8:$Y$124)</f>
        <v>7260.6280000000006</v>
      </c>
      <c r="E8" s="65">
        <f>+SUM('[1]FACTURACION SEP17'!$R$10,'[1]FACTURACION SEP17'!$R$16,'[1]FACTURACION SEP17'!$R$22)/1000</f>
        <v>7260.6279999999997</v>
      </c>
      <c r="F8" s="86"/>
    </row>
    <row r="9" spans="3:6" x14ac:dyDescent="0.2">
      <c r="C9" s="63" t="s">
        <v>11</v>
      </c>
      <c r="D9" s="65">
        <f>+SUMIF('Tabla N°3'!$C$8:$C$124,"="&amp;Comprobaciones!$C9,'Tabla N°3'!$W$8:$W$124)+SUMIF('Tabla N°3'!$C$8:$C$124,"="&amp;Comprobaciones!$C9,'Tabla N°3'!$X$8:$X$124)+SUMIF('Tabla N°3'!$C$8:$C$124,"="&amp;Comprobaciones!$C9,'Tabla N°3'!$Y$8:$Y$124)</f>
        <v>27215.29</v>
      </c>
      <c r="E9" s="65">
        <f>+SUM('[1]FACTURACION SEP17'!$R$63,'[1]FACTURACION SEP17'!$R$64,'[1]FACTURACION SEP17'!$R$65,'[1]FACTURACION SEP17'!$R$66,'[1]FACTURACION SEP17'!$R$87,'[1]FACTURACION SEP17'!$R$88,'[1]FACTURACION SEP17'!$R$89,'[1]FACTURACION SEP17'!$R$90,'[1]FACTURACION SEP17'!$R$111,'[1]FACTURACION SEP17'!$R$112,'[1]FACTURACION SEP17'!$R$113,'[1]FACTURACION SEP17'!$R$114)/1000</f>
        <v>27215.29</v>
      </c>
      <c r="F9" s="86"/>
    </row>
    <row r="10" spans="3:6" x14ac:dyDescent="0.2">
      <c r="C10" s="63" t="s">
        <v>144</v>
      </c>
      <c r="D10" s="65">
        <f>+SUMIF('Tabla N°3'!$C$8:$C$124,"="&amp;Comprobaciones!$C10,'Tabla N°3'!$W$8:$W$124)+SUMIF('Tabla N°3'!$C$8:$C$124,"="&amp;Comprobaciones!$C10,'Tabla N°3'!$X$8:$X$124)+SUMIF('Tabla N°3'!$C$8:$C$124,"="&amp;Comprobaciones!$C10,'Tabla N°3'!$Y$8:$Y$124)</f>
        <v>2706079.5529999994</v>
      </c>
      <c r="E10" s="65">
        <f>1/1000*SUM('[4]FACTURACION SEP17'!$R$20,'[4]FACTURACION SEP17'!$R$21,'[4]FACTURACION SEP17'!$R$22,'[4]FACTURACION SEP17'!$R$23,'[4]FACTURACION SEP17'!$R$24,'[4]FACTURACION SEP17'!$R$40,'[4]FACTURACION SEP17'!$R$41,'[4]FACTURACION SEP17'!$R$42,'[4]FACTURACION SEP17'!$R$43,'[4]FACTURACION SEP17'!$R$44,'[4]FACTURACION SEP17'!$R$60,'[4]FACTURACION SEP17'!$R$61,'[4]FACTURACION SEP17'!$R$62,'[4]FACTURACION SEP17'!$R$63,'[4]FACTURACION SEP17'!$R$64)</f>
        <v>2706079.5529999998</v>
      </c>
      <c r="F10" s="86"/>
    </row>
    <row r="11" spans="3:6" x14ac:dyDescent="0.2">
      <c r="C11" s="63" t="s">
        <v>23</v>
      </c>
      <c r="D11" s="65">
        <f>+SUMIF('Tabla N°3'!$C$8:$C$124,"="&amp;Comprobaciones!$C11,'Tabla N°3'!$W$8:$W$124)+SUMIF('Tabla N°3'!$C$8:$C$124,"="&amp;Comprobaciones!$C11,'Tabla N°3'!$X$8:$X$124)+SUMIF('Tabla N°3'!$C$8:$C$124,"="&amp;Comprobaciones!$C11,'Tabla N°3'!$Y$8:$Y$124)</f>
        <v>126450.62242844135</v>
      </c>
      <c r="E11" s="65">
        <f>+[6]Compras!$L$15/1000</f>
        <v>126450.62242844135</v>
      </c>
      <c r="F11" s="86"/>
    </row>
    <row r="12" spans="3:6" x14ac:dyDescent="0.2">
      <c r="C12" s="63" t="s">
        <v>18</v>
      </c>
      <c r="D12" s="65">
        <f>+SUMIF('Tabla N°3'!$C$8:$C$124,"="&amp;Comprobaciones!$C12,'Tabla N°3'!$W$8:$W$124)+SUMIF('Tabla N°3'!$C$8:$C$124,"="&amp;Comprobaciones!$C12,'Tabla N°3'!$X$8:$X$124)+SUMIF('Tabla N°3'!$C$8:$C$124,"="&amp;Comprobaciones!$C12,'Tabla N°3'!$Y$8:$Y$124)</f>
        <v>22311.08747942881</v>
      </c>
      <c r="E12" s="65">
        <f>+SUM([7]PRORRATA_Precios!$AC$30,[7]PRORRATA_Precios!$AC$34,[7]PRORRATA_Precios!$AC$36)/1000</f>
        <v>22311.087479428814</v>
      </c>
      <c r="F12" s="86"/>
    </row>
    <row r="13" spans="3:6" x14ac:dyDescent="0.2">
      <c r="C13" s="63" t="s">
        <v>22</v>
      </c>
      <c r="D13" s="65">
        <f>+SUMIF('Tabla N°3'!$C$8:$C$124,"="&amp;Comprobaciones!$C13,'Tabla N°3'!$W$8:$W$124)+SUMIF('Tabla N°3'!$C$8:$C$124,"="&amp;Comprobaciones!$C13,'Tabla N°3'!$X$8:$X$124)+SUMIF('Tabla N°3'!$C$8:$C$124,"="&amp;Comprobaciones!$C13,'Tabla N°3'!$Y$8:$Y$124)</f>
        <v>161800.00583245946</v>
      </c>
      <c r="E13" s="65">
        <f>[8]Compras!$L$14/1000</f>
        <v>161800.00583245943</v>
      </c>
      <c r="F13" s="86"/>
    </row>
    <row r="14" spans="3:6" x14ac:dyDescent="0.2">
      <c r="C14" s="63" t="s">
        <v>19</v>
      </c>
      <c r="D14" s="65">
        <f>+SUMIF('Tabla N°3'!$C$8:$C$124,"="&amp;Comprobaciones!$C14,'Tabla N°3'!$W$8:$W$124)+SUMIF('Tabla N°3'!$C$8:$C$124,"="&amp;Comprobaciones!$C14,'Tabla N°3'!$X$8:$X$124)+SUMIF('Tabla N°3'!$C$8:$C$124,"="&amp;Comprobaciones!$C14,'Tabla N°3'!$Y$8:$Y$124)</f>
        <v>27029.620349259458</v>
      </c>
      <c r="E14" s="65"/>
      <c r="F14" s="86"/>
    </row>
    <row r="15" spans="3:6" x14ac:dyDescent="0.2">
      <c r="C15" s="63" t="s">
        <v>151</v>
      </c>
      <c r="D15" s="65">
        <f>+SUMIF('Tabla N°3'!$C$8:$C$124,"="&amp;Comprobaciones!$C15,'Tabla N°3'!$W$8:$W$124)+SUMIF('Tabla N°3'!$C$8:$C$124,"="&amp;Comprobaciones!$C15,'Tabla N°3'!$X$8:$X$124)+SUMIF('Tabla N°3'!$C$8:$C$124,"="&amp;Comprobaciones!$C15,'Tabla N°3'!$Y$8:$Y$124)</f>
        <v>18835.294566190871</v>
      </c>
      <c r="E15" s="65">
        <f>+SUM([11]R2!$M$469,[11]R2!$M$499,[11]R2!$M$532)/1000</f>
        <v>18835.294566190867</v>
      </c>
      <c r="F15" s="86"/>
    </row>
    <row r="16" spans="3:6" x14ac:dyDescent="0.2">
      <c r="C16" s="63" t="s">
        <v>152</v>
      </c>
      <c r="D16" s="65">
        <f>+SUMIF('Tabla N°3'!$C$8:$C$124,"="&amp;Comprobaciones!$C16,'Tabla N°3'!$W$8:$W$124)+SUMIF('Tabla N°3'!$C$8:$C$124,"="&amp;Comprobaciones!$C16,'Tabla N°3'!$X$8:$X$124)+SUMIF('Tabla N°3'!$C$8:$C$124,"="&amp;Comprobaciones!$C16,'Tabla N°3'!$Y$8:$Y$124)</f>
        <v>2329.9771984367931</v>
      </c>
      <c r="E16" s="65">
        <f>+SUM([11]R2!$M$575,[11]R2!$M$605,[11]R2!$M$638)/1000</f>
        <v>2329.9771984367931</v>
      </c>
      <c r="F16" s="86"/>
    </row>
    <row r="17" spans="3:6" x14ac:dyDescent="0.2">
      <c r="C17" s="63" t="s">
        <v>146</v>
      </c>
      <c r="D17" s="65">
        <f>+SUMIF('Tabla N°3'!$C$8:$C$124,"="&amp;Comprobaciones!$C17,'Tabla N°3'!$W$8:$W$124)+SUMIF('Tabla N°3'!$C$8:$C$124,"="&amp;Comprobaciones!$C17,'Tabla N°3'!$X$8:$X$124)+SUMIF('Tabla N°3'!$C$8:$C$124,"="&amp;Comprobaciones!$C17,'Tabla N°3'!$Y$8:$Y$124)</f>
        <v>107331.43287346137</v>
      </c>
      <c r="E17" s="65"/>
      <c r="F17" s="86"/>
    </row>
    <row r="18" spans="3:6" x14ac:dyDescent="0.2">
      <c r="C18" s="63" t="s">
        <v>145</v>
      </c>
      <c r="D18" s="65">
        <f>+SUMIF('Tabla N°3'!$C$8:$C$124,"="&amp;Comprobaciones!$C18,'Tabla N°3'!$W$8:$W$124)+SUMIF('Tabla N°3'!$C$8:$C$124,"="&amp;Comprobaciones!$C18,'Tabla N°3'!$X$8:$X$124)+SUMIF('Tabla N°3'!$C$8:$C$124,"="&amp;Comprobaciones!$C18,'Tabla N°3'!$Y$8:$Y$124)</f>
        <v>4095.5540823864744</v>
      </c>
      <c r="E18" s="65"/>
      <c r="F18" s="86"/>
    </row>
    <row r="19" spans="3:6" x14ac:dyDescent="0.2">
      <c r="C19" s="63" t="s">
        <v>149</v>
      </c>
      <c r="D19" s="65">
        <f>+SUMIF('Tabla N°3'!$C$8:$C$124,"="&amp;Comprobaciones!$C19,'Tabla N°3'!$W$8:$W$124)+SUMIF('Tabla N°3'!$C$8:$C$124,"="&amp;Comprobaciones!$C19,'Tabla N°3'!$X$8:$X$124)+SUMIF('Tabla N°3'!$C$8:$C$124,"="&amp;Comprobaciones!$C19,'Tabla N°3'!$Y$8:$Y$124)</f>
        <v>34224.156046892269</v>
      </c>
      <c r="E19" s="65">
        <f>[16]Compras!$L$12/1000</f>
        <v>34224.156046892276</v>
      </c>
      <c r="F19" s="86"/>
    </row>
    <row r="20" spans="3:6" x14ac:dyDescent="0.2">
      <c r="C20" s="63" t="s">
        <v>147</v>
      </c>
      <c r="D20" s="65">
        <f>+SUMIF('Tabla N°3'!$C$8:$C$124,"="&amp;Comprobaciones!$C20,'Tabla N°3'!$W$8:$W$124)+SUMIF('Tabla N°3'!$C$8:$C$124,"="&amp;Comprobaciones!$C20,'Tabla N°3'!$X$8:$X$124)+SUMIF('Tabla N°3'!$C$8:$C$124,"="&amp;Comprobaciones!$C20,'Tabla N°3'!$Y$8:$Y$124)</f>
        <v>799.7988893742604</v>
      </c>
      <c r="E20" s="65">
        <f>+SUM([17]RESULTADOS!$E$97,[17]RESULTADOS!$E$101,[17]RESULTADOS!$E$103)/1000</f>
        <v>799.8</v>
      </c>
      <c r="F20" s="86"/>
    </row>
    <row r="21" spans="3:6" x14ac:dyDescent="0.2">
      <c r="C21" s="42" t="s">
        <v>157</v>
      </c>
      <c r="D21" s="67">
        <f>+SUM(D9:D20)</f>
        <v>3238502.3927463307</v>
      </c>
      <c r="E21" s="67"/>
    </row>
  </sheetData>
  <conditionalFormatting sqref="E8">
    <cfRule type="cellIs" dxfId="9" priority="12" operator="equal">
      <formula>$D$8</formula>
    </cfRule>
  </conditionalFormatting>
  <conditionalFormatting sqref="E9">
    <cfRule type="cellIs" dxfId="8" priority="10" operator="equal">
      <formula>$D$9</formula>
    </cfRule>
  </conditionalFormatting>
  <conditionalFormatting sqref="E10">
    <cfRule type="cellIs" dxfId="7" priority="9" operator="equal">
      <formula>$D$10</formula>
    </cfRule>
  </conditionalFormatting>
  <conditionalFormatting sqref="E11">
    <cfRule type="cellIs" dxfId="6" priority="8" operator="equal">
      <formula>$D$11</formula>
    </cfRule>
  </conditionalFormatting>
  <conditionalFormatting sqref="E12">
    <cfRule type="cellIs" dxfId="5" priority="7" operator="equal">
      <formula>$D$12</formula>
    </cfRule>
  </conditionalFormatting>
  <conditionalFormatting sqref="E13">
    <cfRule type="cellIs" dxfId="4" priority="6" operator="equal">
      <formula>$D$13</formula>
    </cfRule>
  </conditionalFormatting>
  <conditionalFormatting sqref="E15">
    <cfRule type="cellIs" dxfId="3" priority="5" operator="equal">
      <formula>$D$15</formula>
    </cfRule>
  </conditionalFormatting>
  <conditionalFormatting sqref="E16">
    <cfRule type="cellIs" dxfId="2" priority="4" operator="equal">
      <formula>$D$16</formula>
    </cfRule>
  </conditionalFormatting>
  <conditionalFormatting sqref="E19">
    <cfRule type="cellIs" dxfId="1" priority="3" operator="equal">
      <formula>$D$19</formula>
    </cfRule>
  </conditionalFormatting>
  <conditionalFormatting sqref="E20">
    <cfRule type="cellIs" dxfId="0" priority="1" operator="equal">
      <formula>$D$20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Tabla N°1</vt:lpstr>
      <vt:lpstr>Tabla N°2</vt:lpstr>
      <vt:lpstr>Sheet2</vt:lpstr>
      <vt:lpstr>Tabla N°3</vt:lpstr>
      <vt:lpstr>Comprobaciones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2017-11-03T19:03:02Z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