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3-Mar\"/>
    </mc:Choice>
  </mc:AlternateContent>
  <xr:revisionPtr revIDLastSave="0" documentId="13_ncr:1_{86ECCC82-E69C-4EA7-B79F-C870064FA134}" xr6:coauthVersionLast="45" xr6:coauthVersionMax="45" xr10:uidLastSave="{00000000-0000-0000-0000-000000000000}"/>
  <bookViews>
    <workbookView xWindow="22932" yWindow="-108" windowWidth="23256" windowHeight="12576" activeTab="2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2" l="1"/>
  <c r="E13" i="1" l="1"/>
  <c r="E9" i="1"/>
  <c r="E7" i="1"/>
  <c r="F14" i="2"/>
  <c r="H14" i="2" s="1"/>
  <c r="K14" i="2" s="1"/>
  <c r="E12" i="1" s="1"/>
  <c r="F15" i="2"/>
  <c r="H15" i="2" s="1"/>
  <c r="K15" i="2" s="1"/>
  <c r="E10" i="1" s="1"/>
  <c r="F13" i="2"/>
  <c r="H13" i="2" s="1"/>
  <c r="K13" i="2" s="1"/>
  <c r="E8" i="1" s="1"/>
  <c r="E5" i="1" l="1"/>
  <c r="E11" i="1"/>
  <c r="E6" i="1"/>
  <c r="G14" i="2" l="1"/>
  <c r="I14" i="2" s="1"/>
  <c r="J14" i="2" s="1"/>
  <c r="G15" i="2"/>
  <c r="I15" i="2" s="1"/>
  <c r="J15" i="2" s="1"/>
  <c r="G13" i="2"/>
  <c r="I13" i="2" s="1"/>
  <c r="J13" i="2" s="1"/>
  <c r="D11" i="1" l="1"/>
  <c r="D5" i="1"/>
  <c r="D8" i="1"/>
  <c r="D13" i="1"/>
  <c r="D10" i="1"/>
  <c r="D7" i="1"/>
  <c r="D9" i="1"/>
  <c r="D12" i="1"/>
  <c r="D6" i="1"/>
  <c r="F11" i="1" l="1"/>
  <c r="F12" i="1"/>
  <c r="F13" i="1"/>
  <c r="F8" i="1"/>
  <c r="F9" i="1"/>
  <c r="F10" i="1"/>
  <c r="F5" i="1"/>
  <c r="F6" i="1"/>
  <c r="F7" i="1"/>
  <c r="J6" i="1" l="1"/>
  <c r="J7" i="1"/>
  <c r="J5" i="1"/>
  <c r="J10" i="1" l="1"/>
  <c r="J9" i="1"/>
  <c r="J8" i="1"/>
  <c r="G13" i="1"/>
  <c r="J13" i="1" s="1"/>
  <c r="G12" i="1"/>
  <c r="J12" i="1" s="1"/>
  <c r="G11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l="1"/>
  <c r="O5" i="1"/>
  <c r="O6" i="1"/>
  <c r="L8" i="1"/>
  <c r="L12" i="1"/>
  <c r="L5" i="1"/>
  <c r="L9" i="1"/>
  <c r="L13" i="1"/>
  <c r="L6" i="1"/>
  <c r="L10" i="1"/>
  <c r="L7" i="1"/>
  <c r="L11" i="1"/>
  <c r="G14" i="1"/>
  <c r="J11" i="1"/>
  <c r="H14" i="1"/>
  <c r="K14" i="1"/>
  <c r="O7" i="1" s="1"/>
  <c r="I14" i="1" l="1"/>
  <c r="L14" i="1"/>
  <c r="O8" i="1" s="1"/>
  <c r="O9" i="1" s="1"/>
  <c r="J14" i="1" l="1"/>
</calcChain>
</file>

<file path=xl/sharedStrings.xml><?xml version="1.0" encoding="utf-8"?>
<sst xmlns="http://schemas.openxmlformats.org/spreadsheetml/2006/main" count="140" uniqueCount="81">
  <si>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</si>
  <si>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</si>
  <si>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</si>
  <si>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</si>
  <si>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</si>
  <si>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</si>
  <si>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</si>
  <si>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</si>
  <si>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</si>
  <si>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</si>
  <si>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</si>
  <si>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</si>
  <si>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</si>
  <si>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</si>
  <si>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</si>
  <si>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</si>
  <si>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</si>
  <si>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</si>
  <si>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</si>
  <si>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</si>
  <si>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</si>
  <si>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</si>
  <si>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</si>
  <si>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</si>
  <si>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</si>
  <si>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</si>
  <si>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</si>
  <si>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</si>
  <si>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</si>
  <si>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</si>
  <si>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</si>
  <si>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</si>
  <si>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</si>
  <si>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</si>
  <si>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</si>
  <si>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</si>
  <si>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</si>
  <si>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</si>
  <si>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</si>
  <si>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</si>
  <si>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</si>
  <si>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</si>
  <si>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</si>
  <si>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</si>
  <si>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</si>
  <si>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</si>
  <si>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</si>
  <si>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</si>
  <si>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</si>
  <si>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</si>
  <si>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</si>
  <si>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</si>
  <si>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</si>
  <si>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</si>
  <si>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</si>
  <si>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</si>
  <si>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</si>
  <si>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</si>
  <si>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</si>
  <si>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</si>
  <si>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</si>
  <si>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</si>
  <si>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</si>
  <si>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</si>
  <si>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</si>
  <si>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</si>
  <si>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</si>
  <si>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</si>
  <si>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</si>
  <si>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</si>
  <si>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</si>
  <si>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Febrero</t>
  </si>
  <si>
    <t>PNP 9T-19 (oct-19 a mar-20)</t>
  </si>
  <si>
    <t>Fmodulacion P</t>
  </si>
  <si>
    <t xml:space="preserve">Factor Ajuste Energía </t>
  </si>
  <si>
    <t>Factor Ajuste Potencia</t>
  </si>
  <si>
    <t>Active Energy: 2,778,864.5 kWh</t>
  </si>
  <si>
    <t>Capacity: 3.360 kW</t>
  </si>
  <si>
    <t xml:space="preserve">Nota: </t>
  </si>
  <si>
    <t>El Precio de la energía incluye el descuento por CET</t>
  </si>
  <si>
    <t>CET [USD/MWh]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</si>
</sst>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#,##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7" fontId="2" fillId="3" borderId="3" xfId="0" applyNumberFormat="1" applyFont="1" applyFill="1" applyBorder="1" applyAlignment="1">
      <alignment horizontal="right" vertical="center" indent="1"/>
    </xf>
    <xf numFmtId="172" fontId="2" fillId="3" borderId="2" xfId="0" applyNumberFormat="1" applyFont="1" applyFill="1" applyBorder="1" applyAlignment="1">
      <alignment horizontal="right" vertical="center" inden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166" fontId="0" fillId="0" borderId="1" xfId="0" applyNumberFormat="1" applyBorder="1"/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173" fontId="4" fillId="0" borderId="0" xfId="0" applyNumberFormat="1" applyFont="1" applyAlignment="1">
      <alignment horizontal="center"/>
    </xf>
    <xf numFmtId="0" fontId="6" fillId="6" borderId="10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right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5" xfId="0" applyNumberFormat="1" applyBorder="1"/>
    <xf numFmtId="166" fontId="0" fillId="0" borderId="3" xfId="0" applyNumberFormat="1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9"/>
  <sheetViews>
    <sheetView topLeftCell="B1" zoomScale="90" zoomScaleNormal="90" workbookViewId="0">
      <selection activeCell="L27" sqref="L27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23" customFormat="1" x14ac:dyDescent="0.25">
      <c r="A2" s="96"/>
      <c r="B2" s="96"/>
      <c r="C2" s="112"/>
      <c r="D2" s="113"/>
      <c r="E2" s="96"/>
      <c r="F2" s="89"/>
      <c r="G2" s="89"/>
      <c r="H2" s="90"/>
      <c r="I2" s="126" t="s">
        <v>17</v>
      </c>
      <c r="J2" s="127"/>
      <c r="K2" s="127"/>
      <c r="L2" s="128"/>
    </row>
    <row r="3" spans="1:15" x14ac:dyDescent="0.25">
      <c r="A3" s="129" t="s">
        <v>15</v>
      </c>
      <c r="B3" s="132" t="s">
        <v>0</v>
      </c>
      <c r="C3" s="134" t="s">
        <v>1</v>
      </c>
      <c r="D3" s="100" t="s">
        <v>2</v>
      </c>
      <c r="E3" s="98" t="s">
        <v>3</v>
      </c>
      <c r="F3" s="41" t="s">
        <v>50</v>
      </c>
      <c r="G3" s="1" t="s">
        <v>4</v>
      </c>
      <c r="H3" s="2" t="s">
        <v>5</v>
      </c>
      <c r="I3" s="79" t="s">
        <v>38</v>
      </c>
      <c r="J3" s="78" t="s">
        <v>4</v>
      </c>
      <c r="K3" s="78" t="s">
        <v>37</v>
      </c>
      <c r="L3" s="62" t="s">
        <v>50</v>
      </c>
      <c r="N3" s="131" t="s">
        <v>70</v>
      </c>
      <c r="O3" s="131"/>
    </row>
    <row r="4" spans="1:15" ht="15" x14ac:dyDescent="0.25">
      <c r="A4" s="130"/>
      <c r="B4" s="133"/>
      <c r="C4" s="135"/>
      <c r="D4" s="101" t="s">
        <v>6</v>
      </c>
      <c r="E4" s="99" t="s">
        <v>7</v>
      </c>
      <c r="F4" s="42" t="s">
        <v>57</v>
      </c>
      <c r="G4" s="3" t="s">
        <v>69</v>
      </c>
      <c r="H4" s="4" t="s">
        <v>8</v>
      </c>
      <c r="I4" s="106" t="s">
        <v>14</v>
      </c>
      <c r="J4" s="104" t="s">
        <v>14</v>
      </c>
      <c r="K4" s="104" t="s">
        <v>14</v>
      </c>
      <c r="L4" s="105" t="s">
        <v>14</v>
      </c>
      <c r="N4" s="13"/>
      <c r="O4" s="15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25">
        <f>VLOOKUP($C5,Px!$B$13:$N$15,9,0)</f>
        <v>5541.5851072088308</v>
      </c>
      <c r="E5" s="121">
        <f>VLOOKUP($C5,Px!$B$13:$N$15,10,0)</f>
        <v>45.513410325103877</v>
      </c>
      <c r="F5" s="63">
        <f>Px!L13</f>
        <v>2.5992705791524648</v>
      </c>
      <c r="G5" s="7"/>
      <c r="H5" s="8">
        <f>COPELEC!I6/1000</f>
        <v>806.29733949891965</v>
      </c>
      <c r="I5" s="80">
        <f t="shared" ref="I5:I13" si="0">H5*E5*1000</f>
        <v>36697341.656653918</v>
      </c>
      <c r="J5" s="9">
        <f t="shared" ref="J5:J13" si="1">G5*D5*1000</f>
        <v>0</v>
      </c>
      <c r="K5" s="9">
        <v>652841.82827881724</v>
      </c>
      <c r="L5" s="81">
        <f t="shared" ref="L5:L13" si="2">H5*F5*1000</f>
        <v>2095784.9526084482</v>
      </c>
      <c r="N5" s="16" t="s">
        <v>76</v>
      </c>
      <c r="O5" s="17">
        <f>SUMPRODUCT(E5:E13,H5:H13)*1000</f>
        <v>126655739.34493646</v>
      </c>
    </row>
    <row r="6" spans="1:15" x14ac:dyDescent="0.25">
      <c r="A6" t="s">
        <v>44</v>
      </c>
      <c r="B6" t="s">
        <v>9</v>
      </c>
      <c r="C6" s="10" t="s">
        <v>43</v>
      </c>
      <c r="D6" s="24">
        <f>VLOOKUP($C6,Px!$B$13:$N$15,9,0)</f>
        <v>5729.8800777146653</v>
      </c>
      <c r="E6" s="122">
        <f>VLOOKUP($C6,Px!$B$13:$N$15,10,0)</f>
        <v>46.423678531605958</v>
      </c>
      <c r="F6" s="64">
        <f>Px!L14</f>
        <v>2.5992705791524648</v>
      </c>
      <c r="G6" s="11"/>
      <c r="H6" s="12">
        <f>COPELEC!F6/1000</f>
        <v>15.01809480142555</v>
      </c>
      <c r="I6" s="82">
        <f t="shared" si="0"/>
        <v>697195.20521856239</v>
      </c>
      <c r="J6" s="83">
        <f t="shared" si="1"/>
        <v>0</v>
      </c>
      <c r="K6" s="83"/>
      <c r="L6" s="84">
        <f t="shared" si="2"/>
        <v>39036.091972268012</v>
      </c>
      <c r="N6" s="16" t="s">
        <v>77</v>
      </c>
      <c r="O6" s="17">
        <f>SUMPRODUCT(D5:D13,G5:G13)*1000</f>
        <v>18651876.014783274</v>
      </c>
    </row>
    <row r="7" spans="1:15" x14ac:dyDescent="0.25">
      <c r="A7" t="s">
        <v>44</v>
      </c>
      <c r="B7" t="s">
        <v>9</v>
      </c>
      <c r="C7" s="10" t="s">
        <v>16</v>
      </c>
      <c r="D7" s="24">
        <f>VLOOKUP($C7,Px!$B$13:$N$15,9,0)</f>
        <v>5839.47591194097</v>
      </c>
      <c r="E7" s="122">
        <f>VLOOKUP($C7,Px!$B$13:$N$15,10,0)</f>
        <v>47.835324413347145</v>
      </c>
      <c r="F7" s="64">
        <f>Px!L15</f>
        <v>2.5992705791524648</v>
      </c>
      <c r="G7" s="11"/>
      <c r="H7" s="12">
        <f>COPELEC!C6/1000</f>
        <v>17.567612681295625</v>
      </c>
      <c r="I7" s="82">
        <f t="shared" si="0"/>
        <v>840352.45177780744</v>
      </c>
      <c r="J7" s="83">
        <f t="shared" si="1"/>
        <v>0</v>
      </c>
      <c r="K7" s="83"/>
      <c r="L7" s="84">
        <f t="shared" si="2"/>
        <v>45662.97878843746</v>
      </c>
      <c r="N7" s="16" t="s">
        <v>13</v>
      </c>
      <c r="O7" s="17">
        <f>K14</f>
        <v>2156278.8753777929</v>
      </c>
    </row>
    <row r="8" spans="1:15" x14ac:dyDescent="0.25">
      <c r="A8" t="s">
        <v>44</v>
      </c>
      <c r="B8" t="s">
        <v>10</v>
      </c>
      <c r="C8" s="10" t="s">
        <v>42</v>
      </c>
      <c r="D8" s="24">
        <f>VLOOKUP($C8,Px!$B$13:$N$15,9,0)</f>
        <v>5541.5851072088308</v>
      </c>
      <c r="E8" s="122">
        <f>VLOOKUP($C8,Px!$B$13:$N$15,10,0)</f>
        <v>45.513410325103877</v>
      </c>
      <c r="F8" s="64">
        <f>Px!M13</f>
        <v>6.1114951746762607</v>
      </c>
      <c r="G8" s="11"/>
      <c r="H8" s="12">
        <f>COPELEC!J7/1000</f>
        <v>1217.040305010182</v>
      </c>
      <c r="I8" s="82">
        <f t="shared" si="0"/>
        <v>55391654.784117989</v>
      </c>
      <c r="J8" s="83">
        <f t="shared" si="1"/>
        <v>0</v>
      </c>
      <c r="K8" s="83">
        <v>982450.4927452082</v>
      </c>
      <c r="L8" s="84">
        <f t="shared" si="2"/>
        <v>7437935.9514562525</v>
      </c>
      <c r="N8" s="16" t="s">
        <v>50</v>
      </c>
      <c r="O8" s="17">
        <f>L14</f>
        <v>14240933.845354082</v>
      </c>
    </row>
    <row r="9" spans="1:15" x14ac:dyDescent="0.25">
      <c r="A9" t="s">
        <v>44</v>
      </c>
      <c r="B9" t="s">
        <v>10</v>
      </c>
      <c r="C9" s="10" t="s">
        <v>43</v>
      </c>
      <c r="D9" s="24">
        <f>VLOOKUP($C9,Px!$B$13:$N$15,9,0)</f>
        <v>5729.8800777146653</v>
      </c>
      <c r="E9" s="122">
        <f>VLOOKUP($C9,Px!$B$13:$N$15,10,0)</f>
        <v>46.423678531605958</v>
      </c>
      <c r="F9" s="64">
        <f>Px!M14</f>
        <v>6.1114951746762607</v>
      </c>
      <c r="G9" s="11"/>
      <c r="H9" s="12">
        <f>COPELEC!G7/1000</f>
        <v>22.659058746137063</v>
      </c>
      <c r="I9" s="82">
        <f t="shared" si="0"/>
        <v>1051916.8590594414</v>
      </c>
      <c r="J9" s="83">
        <f t="shared" si="1"/>
        <v>0</v>
      </c>
      <c r="K9" s="83"/>
      <c r="L9" s="84">
        <f t="shared" si="2"/>
        <v>138480.72818972258</v>
      </c>
      <c r="N9" s="18" t="s">
        <v>12</v>
      </c>
      <c r="O9" s="19">
        <f>SUM(O5:O8)</f>
        <v>161704828.08045161</v>
      </c>
    </row>
    <row r="10" spans="1:15" x14ac:dyDescent="0.25">
      <c r="A10" t="s">
        <v>44</v>
      </c>
      <c r="B10" t="s">
        <v>10</v>
      </c>
      <c r="C10" s="10" t="s">
        <v>16</v>
      </c>
      <c r="D10" s="24">
        <f>VLOOKUP($C10,Px!$B$13:$N$15,9,0)</f>
        <v>5839.47591194097</v>
      </c>
      <c r="E10" s="122">
        <f>VLOOKUP($C10,Px!$B$13:$N$15,10,0)</f>
        <v>47.835324413347145</v>
      </c>
      <c r="F10" s="64">
        <f>Px!M15</f>
        <v>6.1114951746762607</v>
      </c>
      <c r="G10" s="11"/>
      <c r="H10" s="12">
        <f>COPELEC!D7/1000</f>
        <v>26.504908241259493</v>
      </c>
      <c r="I10" s="82">
        <f t="shared" si="0"/>
        <v>1267870.8842666461</v>
      </c>
      <c r="J10" s="83">
        <f t="shared" si="1"/>
        <v>0</v>
      </c>
      <c r="K10" s="83"/>
      <c r="L10" s="84">
        <f t="shared" si="2"/>
        <v>161984.61882169446</v>
      </c>
    </row>
    <row r="11" spans="1:15" x14ac:dyDescent="0.25">
      <c r="A11" t="s">
        <v>44</v>
      </c>
      <c r="B11" t="s">
        <v>11</v>
      </c>
      <c r="C11" s="10" t="s">
        <v>42</v>
      </c>
      <c r="D11" s="24">
        <f>VLOOKUP($C11,Px!$B$13:$N$15,9,0)</f>
        <v>5541.5851072088308</v>
      </c>
      <c r="E11" s="122">
        <f>VLOOKUP($C11,Px!$B$13:$N$15,10,0)</f>
        <v>45.513410325103877</v>
      </c>
      <c r="F11" s="64">
        <f>Px!N13</f>
        <v>6.4146553735900778</v>
      </c>
      <c r="G11" s="11">
        <f>COPELEC!R8/1000</f>
        <v>3.23</v>
      </c>
      <c r="H11" s="12">
        <f>COPELEC!K8/1000</f>
        <v>647.74770672415673</v>
      </c>
      <c r="I11" s="82">
        <f t="shared" si="0"/>
        <v>29481207.163281593</v>
      </c>
      <c r="J11" s="83">
        <f t="shared" si="1"/>
        <v>17899319.896284524</v>
      </c>
      <c r="K11" s="83">
        <v>520986.55435376737</v>
      </c>
      <c r="L11" s="84">
        <f t="shared" si="2"/>
        <v>4155078.3076687623</v>
      </c>
    </row>
    <row r="12" spans="1:15" x14ac:dyDescent="0.25">
      <c r="A12" t="s">
        <v>44</v>
      </c>
      <c r="B12" t="s">
        <v>11</v>
      </c>
      <c r="C12" s="10" t="s">
        <v>43</v>
      </c>
      <c r="D12" s="24">
        <f>VLOOKUP($C12,Px!$B$13:$N$15,9,0)</f>
        <v>5729.8800777146653</v>
      </c>
      <c r="E12" s="122">
        <f>VLOOKUP($C12,Px!$B$13:$N$15,10,0)</f>
        <v>46.423678531605958</v>
      </c>
      <c r="F12" s="64">
        <f>Px!N14</f>
        <v>6.4146553735900778</v>
      </c>
      <c r="G12" s="11">
        <f>COPELEC!Q8/1000</f>
        <v>0.06</v>
      </c>
      <c r="H12" s="12">
        <f>COPELEC!H8/1000</f>
        <v>11.992254852025502</v>
      </c>
      <c r="I12" s="82">
        <f t="shared" si="0"/>
        <v>556724.58411952364</v>
      </c>
      <c r="J12" s="83">
        <f t="shared" si="1"/>
        <v>343792.80466287991</v>
      </c>
      <c r="K12" s="83"/>
      <c r="L12" s="84">
        <f t="shared" si="2"/>
        <v>76926.182028007068</v>
      </c>
    </row>
    <row r="13" spans="1:15" x14ac:dyDescent="0.25">
      <c r="A13" t="s">
        <v>44</v>
      </c>
      <c r="B13" t="s">
        <v>11</v>
      </c>
      <c r="C13" s="10" t="s">
        <v>16</v>
      </c>
      <c r="D13" s="24">
        <f>VLOOKUP($C13,Px!$B$13:$N$15,9,0)</f>
        <v>5839.47591194097</v>
      </c>
      <c r="E13" s="123">
        <f>VLOOKUP($C13,Px!$B$13:$N$15,10,0)</f>
        <v>47.835324413347145</v>
      </c>
      <c r="F13" s="65">
        <f>Px!N15</f>
        <v>6.4146553735900778</v>
      </c>
      <c r="G13" s="14">
        <f>COPELEC!P8/1000</f>
        <v>7.0000000000000007E-2</v>
      </c>
      <c r="H13" s="21">
        <f>COPELEC!E8/1000</f>
        <v>14.037236387041725</v>
      </c>
      <c r="I13" s="85">
        <f t="shared" si="0"/>
        <v>671475.75644098187</v>
      </c>
      <c r="J13" s="22">
        <f t="shared" si="1"/>
        <v>408763.31383586797</v>
      </c>
      <c r="K13" s="22"/>
      <c r="L13" s="86">
        <f t="shared" si="2"/>
        <v>90044.033820491371</v>
      </c>
    </row>
    <row r="14" spans="1:15" ht="15" x14ac:dyDescent="0.25">
      <c r="A14" s="26"/>
      <c r="B14" s="26"/>
      <c r="C14" s="26"/>
      <c r="D14" s="26"/>
      <c r="E14" s="61"/>
      <c r="F14" s="120" t="s">
        <v>12</v>
      </c>
      <c r="G14" s="103">
        <f t="shared" ref="G14:H14" si="3">SUM(G5:G13)</f>
        <v>3.36</v>
      </c>
      <c r="H14" s="102">
        <f t="shared" si="3"/>
        <v>2778.8645169424426</v>
      </c>
      <c r="I14" s="87">
        <f>SUM(I5:I13)</f>
        <v>126655739.34493646</v>
      </c>
      <c r="J14" s="20">
        <f>SUM(J5:J13)</f>
        <v>18651876.014783271</v>
      </c>
      <c r="K14" s="20">
        <f t="shared" ref="K14" si="4">SUM(K5:K13)</f>
        <v>2156278.8753777929</v>
      </c>
      <c r="L14" s="88">
        <f t="shared" ref="L14" si="5">SUM(L5:L13)</f>
        <v>14240933.845354082</v>
      </c>
    </row>
    <row r="16" spans="1:15" x14ac:dyDescent="0.25">
      <c r="E16" s="16" t="s">
        <v>78</v>
      </c>
      <c r="F16" t="s">
        <v>79</v>
      </c>
    </row>
    <row r="20" spans="9:15" ht="15" x14ac:dyDescent="0.25">
      <c r="I20" s="97"/>
    </row>
    <row r="26" spans="9:15" x14ac:dyDescent="0.25">
      <c r="N26" s="23"/>
      <c r="O26" s="23"/>
    </row>
    <row r="27" spans="9:15" s="23" customFormat="1" ht="20.25" customHeight="1" x14ac:dyDescent="0.25">
      <c r="N27"/>
      <c r="O27"/>
    </row>
    <row r="29" spans="9:15" x14ac:dyDescent="0.25">
      <c r="I29" s="17"/>
      <c r="J29" s="17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P8" sqref="P8:R8"/>
    </sheetView>
  </sheetViews>
  <sheetFormatPr baseColWidth="10" defaultRowHeight="13.5" x14ac:dyDescent="0.25"/>
  <cols>
    <col min="1" max="1" width="21" bestFit="1" customWidth="1"/>
    <col min="13" max="13" width="13.85546875" bestFit="1" customWidth="1"/>
    <col min="19" max="21" width="3.7109375" customWidth="1"/>
  </cols>
  <sheetData>
    <row r="2" spans="1:22" ht="14.25" thickBot="1" x14ac:dyDescent="0.3"/>
    <row r="3" spans="1:22" ht="15.75" thickBot="1" x14ac:dyDescent="0.3">
      <c r="A3" s="43" t="s">
        <v>45</v>
      </c>
      <c r="B3" s="43" t="s">
        <v>71</v>
      </c>
      <c r="C3" s="136" t="s">
        <v>46</v>
      </c>
      <c r="D3" s="137"/>
      <c r="E3" s="137"/>
      <c r="F3" s="137"/>
      <c r="G3" s="137"/>
      <c r="H3" s="137"/>
      <c r="I3" s="137"/>
      <c r="J3" s="137"/>
      <c r="K3" s="137"/>
      <c r="L3" s="138"/>
      <c r="M3" s="136" t="s">
        <v>24</v>
      </c>
      <c r="N3" s="137"/>
      <c r="O3" s="137"/>
      <c r="P3" s="137"/>
      <c r="Q3" s="137"/>
      <c r="R3" s="138"/>
      <c r="U3" s="44"/>
      <c r="V3" s="45"/>
    </row>
    <row r="4" spans="1:22" ht="15.75" thickBot="1" x14ac:dyDescent="0.3">
      <c r="C4" s="139" t="s">
        <v>16</v>
      </c>
      <c r="D4" s="139"/>
      <c r="E4" s="139"/>
      <c r="F4" s="139" t="s">
        <v>43</v>
      </c>
      <c r="G4" s="139"/>
      <c r="H4" s="139"/>
      <c r="I4" s="139" t="s">
        <v>42</v>
      </c>
      <c r="J4" s="139"/>
      <c r="K4" s="139"/>
      <c r="L4" s="140" t="s">
        <v>47</v>
      </c>
      <c r="M4" s="136" t="s">
        <v>48</v>
      </c>
      <c r="N4" s="137"/>
      <c r="O4" s="137"/>
      <c r="P4" s="137" t="s">
        <v>49</v>
      </c>
      <c r="Q4" s="137"/>
      <c r="R4" s="142"/>
      <c r="V4" s="46"/>
    </row>
    <row r="5" spans="1:22" ht="15.75" thickBot="1" x14ac:dyDescent="0.3">
      <c r="A5" s="47" t="s">
        <v>51</v>
      </c>
      <c r="B5" s="48" t="s">
        <v>52</v>
      </c>
      <c r="C5" s="49" t="s">
        <v>39</v>
      </c>
      <c r="D5" s="50" t="s">
        <v>40</v>
      </c>
      <c r="E5" s="51" t="s">
        <v>41</v>
      </c>
      <c r="F5" s="49" t="s">
        <v>39</v>
      </c>
      <c r="G5" s="50" t="s">
        <v>40</v>
      </c>
      <c r="H5" s="51" t="s">
        <v>41</v>
      </c>
      <c r="I5" s="49" t="s">
        <v>39</v>
      </c>
      <c r="J5" s="50" t="s">
        <v>40</v>
      </c>
      <c r="K5" s="51" t="s">
        <v>41</v>
      </c>
      <c r="L5" s="141"/>
      <c r="M5" s="52" t="s">
        <v>16</v>
      </c>
      <c r="N5" s="52" t="s">
        <v>43</v>
      </c>
      <c r="O5" s="52" t="s">
        <v>42</v>
      </c>
      <c r="P5" s="52" t="s">
        <v>16</v>
      </c>
      <c r="Q5" s="53" t="s">
        <v>43</v>
      </c>
      <c r="R5" s="53" t="s">
        <v>42</v>
      </c>
      <c r="V5" s="46"/>
    </row>
    <row r="6" spans="1:22" ht="15" x14ac:dyDescent="0.25">
      <c r="A6" s="54" t="s">
        <v>53</v>
      </c>
      <c r="B6" s="55" t="s">
        <v>54</v>
      </c>
      <c r="C6" s="93">
        <v>17567.612681295624</v>
      </c>
      <c r="D6" s="94">
        <v>0</v>
      </c>
      <c r="E6" s="94">
        <v>0</v>
      </c>
      <c r="F6" s="94">
        <v>15018.09480142555</v>
      </c>
      <c r="G6" s="94">
        <v>0</v>
      </c>
      <c r="H6" s="94">
        <v>0</v>
      </c>
      <c r="I6" s="94">
        <v>806297.33949891967</v>
      </c>
      <c r="J6" s="94">
        <v>0</v>
      </c>
      <c r="K6" s="95">
        <v>0</v>
      </c>
      <c r="L6" s="92">
        <v>838883.04698164086</v>
      </c>
      <c r="M6" s="56">
        <v>0</v>
      </c>
      <c r="N6" s="57">
        <v>0</v>
      </c>
      <c r="O6" s="57">
        <v>0</v>
      </c>
      <c r="P6" s="58">
        <v>0</v>
      </c>
      <c r="Q6" s="58">
        <v>0</v>
      </c>
      <c r="R6" s="58">
        <v>0</v>
      </c>
      <c r="S6" s="59"/>
      <c r="V6" s="60"/>
    </row>
    <row r="7" spans="1:22" ht="15" x14ac:dyDescent="0.25">
      <c r="A7" s="54" t="s">
        <v>53</v>
      </c>
      <c r="B7" s="55" t="s">
        <v>55</v>
      </c>
      <c r="C7" s="93">
        <v>0</v>
      </c>
      <c r="D7" s="94">
        <v>26504.908241259494</v>
      </c>
      <c r="E7" s="94">
        <v>0</v>
      </c>
      <c r="F7" s="94">
        <v>0</v>
      </c>
      <c r="G7" s="94">
        <v>22659.058746137063</v>
      </c>
      <c r="H7" s="94">
        <v>0</v>
      </c>
      <c r="I7" s="94">
        <v>0</v>
      </c>
      <c r="J7" s="94">
        <v>1217040.3050101821</v>
      </c>
      <c r="K7" s="95">
        <v>0</v>
      </c>
      <c r="L7" s="92">
        <v>1266204.2719975787</v>
      </c>
      <c r="M7" s="56">
        <v>0</v>
      </c>
      <c r="N7" s="57">
        <v>0</v>
      </c>
      <c r="O7" s="57">
        <v>0</v>
      </c>
      <c r="P7" s="58">
        <v>0</v>
      </c>
      <c r="Q7" s="58">
        <v>0</v>
      </c>
      <c r="R7" s="58">
        <v>0</v>
      </c>
      <c r="S7" s="59"/>
      <c r="V7" s="60"/>
    </row>
    <row r="8" spans="1:22" ht="15" x14ac:dyDescent="0.25">
      <c r="A8" s="54" t="s">
        <v>53</v>
      </c>
      <c r="B8" s="55" t="s">
        <v>56</v>
      </c>
      <c r="C8" s="93">
        <v>0</v>
      </c>
      <c r="D8" s="94">
        <v>0</v>
      </c>
      <c r="E8" s="94">
        <v>14037.236387041725</v>
      </c>
      <c r="F8" s="94">
        <v>0</v>
      </c>
      <c r="G8" s="94">
        <v>0</v>
      </c>
      <c r="H8" s="94">
        <v>11992.254852025502</v>
      </c>
      <c r="I8" s="94">
        <v>0</v>
      </c>
      <c r="J8" s="94">
        <v>0</v>
      </c>
      <c r="K8" s="95">
        <v>647747.70672415674</v>
      </c>
      <c r="L8" s="92">
        <v>673777.19796322403</v>
      </c>
      <c r="M8" s="56">
        <v>2.347073744280496E-3</v>
      </c>
      <c r="N8" s="57">
        <v>2.0051458650288652E-3</v>
      </c>
      <c r="O8" s="57">
        <v>0.10830562323319035</v>
      </c>
      <c r="P8" s="58">
        <v>70</v>
      </c>
      <c r="Q8" s="58">
        <v>60</v>
      </c>
      <c r="R8" s="58">
        <v>3230</v>
      </c>
      <c r="S8" s="59"/>
      <c r="V8" s="60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9"/>
  <sheetViews>
    <sheetView tabSelected="1" zoomScaleNormal="100" workbookViewId="0">
      <selection activeCell="J5" sqref="J5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24.28515625" bestFit="1" customWidth="1"/>
    <col min="7" max="7" width="18.7109375" bestFit="1" customWidth="1"/>
    <col min="10" max="10" width="12" bestFit="1" customWidth="1"/>
    <col min="14" max="14" width="14.85546875" bestFit="1" customWidth="1"/>
  </cols>
  <sheetData>
    <row r="2" spans="1:15" x14ac:dyDescent="0.25">
      <c r="A2" s="27" t="s">
        <v>18</v>
      </c>
      <c r="B2" s="28"/>
      <c r="C2" s="28" t="s">
        <v>19</v>
      </c>
      <c r="D2" s="29" t="s">
        <v>20</v>
      </c>
      <c r="E2" s="30"/>
      <c r="F2" s="30"/>
      <c r="G2" s="30"/>
    </row>
    <row r="3" spans="1:15" x14ac:dyDescent="0.25">
      <c r="A3" s="31" t="s">
        <v>21</v>
      </c>
      <c r="B3" s="30" t="s">
        <v>22</v>
      </c>
      <c r="C3" s="30">
        <v>79.322000000000003</v>
      </c>
      <c r="D3" s="32" t="s">
        <v>23</v>
      </c>
      <c r="E3" s="115"/>
      <c r="F3" s="30"/>
      <c r="G3" s="114"/>
    </row>
    <row r="4" spans="1:15" x14ac:dyDescent="0.25">
      <c r="A4" s="33" t="s">
        <v>24</v>
      </c>
      <c r="B4" s="34" t="s">
        <v>25</v>
      </c>
      <c r="C4" s="34">
        <v>8.3592999999999993</v>
      </c>
      <c r="D4" s="35" t="s">
        <v>23</v>
      </c>
      <c r="E4" s="115"/>
      <c r="F4" s="30"/>
      <c r="G4" s="114"/>
    </row>
    <row r="5" spans="1:15" x14ac:dyDescent="0.25">
      <c r="A5" s="27" t="s">
        <v>18</v>
      </c>
      <c r="B5" s="28"/>
      <c r="C5" s="28" t="s">
        <v>19</v>
      </c>
      <c r="D5" s="29" t="s">
        <v>20</v>
      </c>
      <c r="E5" s="30"/>
      <c r="F5" s="30"/>
      <c r="G5" s="27" t="s">
        <v>80</v>
      </c>
      <c r="H5" s="124">
        <v>3.3449466699414958</v>
      </c>
      <c r="J5">
        <f>H5*C6/1000*D13</f>
        <v>2.1716909042101671</v>
      </c>
    </row>
    <row r="6" spans="1:15" x14ac:dyDescent="0.25">
      <c r="A6" s="31" t="s">
        <v>26</v>
      </c>
      <c r="B6" s="30"/>
      <c r="C6" s="30">
        <v>694.38</v>
      </c>
      <c r="D6" s="32" t="s">
        <v>72</v>
      </c>
      <c r="E6" s="30"/>
      <c r="F6" s="30"/>
      <c r="G6" s="109" t="s">
        <v>74</v>
      </c>
      <c r="H6" s="110">
        <v>0.85445067108268802</v>
      </c>
    </row>
    <row r="7" spans="1:15" x14ac:dyDescent="0.25">
      <c r="A7" s="31" t="s">
        <v>27</v>
      </c>
      <c r="B7" s="30"/>
      <c r="C7" s="36">
        <v>255.22200000000001</v>
      </c>
      <c r="D7" s="32"/>
      <c r="E7" s="30"/>
      <c r="F7" s="30"/>
      <c r="G7" s="111" t="s">
        <v>75</v>
      </c>
      <c r="H7" s="125">
        <v>0.93296255087837598</v>
      </c>
      <c r="O7" s="91"/>
    </row>
    <row r="8" spans="1:15" x14ac:dyDescent="0.25">
      <c r="A8" s="31" t="s">
        <v>28</v>
      </c>
      <c r="B8" s="30"/>
      <c r="C8" s="37">
        <v>237.09</v>
      </c>
      <c r="D8" s="38" t="s">
        <v>29</v>
      </c>
      <c r="E8" s="30"/>
      <c r="F8" s="30"/>
      <c r="G8" s="30"/>
      <c r="O8" s="91"/>
    </row>
    <row r="9" spans="1:15" x14ac:dyDescent="0.25">
      <c r="A9" s="33" t="s">
        <v>30</v>
      </c>
      <c r="B9" s="34"/>
      <c r="C9" s="39"/>
      <c r="D9" s="40" t="s">
        <v>68</v>
      </c>
      <c r="E9" s="30"/>
      <c r="F9" s="30"/>
      <c r="G9" s="30"/>
      <c r="O9" s="91"/>
    </row>
    <row r="10" spans="1:15" x14ac:dyDescent="0.25">
      <c r="A10" s="30"/>
      <c r="B10" s="30"/>
      <c r="C10" s="30"/>
      <c r="D10" s="30"/>
      <c r="E10" s="30"/>
      <c r="F10" s="30"/>
      <c r="G10" s="30"/>
    </row>
    <row r="11" spans="1:15" x14ac:dyDescent="0.25">
      <c r="A11" s="66"/>
      <c r="B11" s="66"/>
      <c r="C11" s="67"/>
      <c r="D11" s="66"/>
      <c r="E11" s="66"/>
      <c r="F11" s="66"/>
      <c r="G11" s="66"/>
      <c r="H11" s="68"/>
      <c r="I11" s="107"/>
      <c r="J11" s="68"/>
      <c r="L11" s="69" t="s">
        <v>9</v>
      </c>
      <c r="M11" s="69" t="s">
        <v>10</v>
      </c>
      <c r="N11" s="70" t="s">
        <v>11</v>
      </c>
    </row>
    <row r="12" spans="1:15" ht="25.5" x14ac:dyDescent="0.25">
      <c r="A12" s="71" t="s">
        <v>58</v>
      </c>
      <c r="B12" s="71" t="s">
        <v>31</v>
      </c>
      <c r="C12" s="71" t="s">
        <v>59</v>
      </c>
      <c r="D12" s="71" t="s">
        <v>32</v>
      </c>
      <c r="E12" s="71" t="s">
        <v>73</v>
      </c>
      <c r="F12" s="71" t="s">
        <v>33</v>
      </c>
      <c r="G12" s="71" t="s">
        <v>34</v>
      </c>
      <c r="H12" s="71" t="s">
        <v>35</v>
      </c>
      <c r="I12" s="71" t="s">
        <v>36</v>
      </c>
      <c r="J12" s="117" t="s">
        <v>36</v>
      </c>
      <c r="K12" s="119" t="s">
        <v>60</v>
      </c>
      <c r="L12" s="71" t="s">
        <v>61</v>
      </c>
      <c r="M12" s="71" t="s">
        <v>62</v>
      </c>
      <c r="N12" s="72" t="s">
        <v>63</v>
      </c>
    </row>
    <row r="13" spans="1:15" x14ac:dyDescent="0.25">
      <c r="A13" s="30" t="s">
        <v>64</v>
      </c>
      <c r="B13" s="30" t="s">
        <v>42</v>
      </c>
      <c r="C13" s="73" t="s">
        <v>65</v>
      </c>
      <c r="D13" s="74">
        <v>0.93500000000000005</v>
      </c>
      <c r="E13" s="74">
        <v>0.9506</v>
      </c>
      <c r="F13" s="75">
        <f>($C$3*$C$7/$C$8-$H$5)*D13</f>
        <v>76.71056469253044</v>
      </c>
      <c r="G13" s="75">
        <f>$C$4*$C$7/$C$8*E13</f>
        <v>8.5540659147528775</v>
      </c>
      <c r="H13" s="75">
        <f>F13*$C$6/1000</f>
        <v>53.266281911199286</v>
      </c>
      <c r="I13" s="116">
        <f>G13*$C$6</f>
        <v>5939.772289886103</v>
      </c>
      <c r="J13" s="118">
        <f>I13*$H$7</f>
        <v>5541.5851072088308</v>
      </c>
      <c r="K13" s="76">
        <f>H13*$H$6</f>
        <v>45.513410325103877</v>
      </c>
      <c r="L13" s="77">
        <v>2.5992705791524648</v>
      </c>
      <c r="M13" s="77">
        <v>6.1114951746762607</v>
      </c>
      <c r="N13" s="76">
        <v>6.4146553735900778</v>
      </c>
    </row>
    <row r="14" spans="1:15" x14ac:dyDescent="0.25">
      <c r="A14" s="30" t="s">
        <v>64</v>
      </c>
      <c r="B14" s="30" t="s">
        <v>43</v>
      </c>
      <c r="C14" s="73" t="s">
        <v>66</v>
      </c>
      <c r="D14" s="74">
        <v>0.95369999999999999</v>
      </c>
      <c r="E14" s="74">
        <v>0.9829</v>
      </c>
      <c r="F14" s="75">
        <f t="shared" ref="F14:F15" si="0">($C$3*$C$7/$C$8-$H$5)*D14</f>
        <v>78.244775986381043</v>
      </c>
      <c r="G14" s="75">
        <f t="shared" ref="G14:G15" si="1">$C$4*$C$7/$C$8*E14</f>
        <v>8.8447205844841186</v>
      </c>
      <c r="H14" s="75">
        <f t="shared" ref="H14:H15" si="2">F14*$C$6/1000</f>
        <v>54.331607549423275</v>
      </c>
      <c r="I14" s="108">
        <f t="shared" ref="I14:I15" si="3">G14*$C$6</f>
        <v>6141.5970794540826</v>
      </c>
      <c r="J14" s="118">
        <f>I14*$H$7</f>
        <v>5729.8800777146653</v>
      </c>
      <c r="K14" s="76">
        <f t="shared" ref="K14:K15" si="4">H14*$H$6</f>
        <v>46.423678531605958</v>
      </c>
      <c r="L14" s="77">
        <v>2.5992705791524648</v>
      </c>
      <c r="M14" s="77">
        <v>6.1114951746762607</v>
      </c>
      <c r="N14" s="76">
        <v>6.4146553735900778</v>
      </c>
    </row>
    <row r="15" spans="1:15" x14ac:dyDescent="0.25">
      <c r="A15" s="30" t="s">
        <v>64</v>
      </c>
      <c r="B15" s="30" t="s">
        <v>16</v>
      </c>
      <c r="C15" s="73" t="s">
        <v>67</v>
      </c>
      <c r="D15" s="74">
        <v>0.98270000000000002</v>
      </c>
      <c r="E15" s="74">
        <v>1.0017</v>
      </c>
      <c r="F15" s="75">
        <f t="shared" si="0"/>
        <v>80.624034142619962</v>
      </c>
      <c r="G15" s="75">
        <f t="shared" si="1"/>
        <v>9.0138942003029214</v>
      </c>
      <c r="H15" s="75">
        <f t="shared" si="2"/>
        <v>55.983716827952449</v>
      </c>
      <c r="I15" s="108">
        <f t="shared" si="3"/>
        <v>6259.0678548063424</v>
      </c>
      <c r="J15" s="118">
        <f>I15*$H$7</f>
        <v>5839.47591194097</v>
      </c>
      <c r="K15" s="76">
        <f t="shared" si="4"/>
        <v>47.835324413347145</v>
      </c>
      <c r="L15" s="77">
        <v>2.5992705791524648</v>
      </c>
      <c r="M15" s="77">
        <v>6.1114951746762607</v>
      </c>
      <c r="N15" s="76">
        <v>6.4146553735900778</v>
      </c>
    </row>
    <row r="16" spans="1:15" x14ac:dyDescent="0.25">
      <c r="F16" s="75"/>
    </row>
    <row r="17" spans="5:9" x14ac:dyDescent="0.25">
      <c r="E17" s="91"/>
      <c r="I17" s="91"/>
    </row>
    <row r="18" spans="5:9" x14ac:dyDescent="0.25">
      <c r="E18" s="91"/>
      <c r="I18" s="91"/>
    </row>
    <row r="19" spans="5:9" x14ac:dyDescent="0.25">
      <c r="E19" s="91"/>
      <c r="I19" s="9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2020-03-18T21:38:38Z</dcterms:modified>
</cp:coreProperties>
</file>