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4-abr\"/>
    </mc:Choice>
  </mc:AlternateContent>
  <xr:revisionPtr revIDLastSave="0" documentId="13_ncr:1_{036D299B-5394-4DB1-A2FB-3FB09C3C8B02}" xr6:coauthVersionLast="45" xr6:coauthVersionMax="45" xr10:uidLastSave="{00000000-0000-0000-0000-000000000000}"/>
  <bookViews>
    <workbookView xWindow="1620" yWindow="2625" windowWidth="23250" windowHeight="1248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4" i="2"/>
  <c r="F13" i="2"/>
  <c r="H15" i="2"/>
  <c r="K15" i="2" s="1"/>
  <c r="H14" i="2"/>
  <c r="K14" i="2" s="1"/>
  <c r="E10" i="1" l="1"/>
  <c r="E13" i="1"/>
  <c r="E7" i="1"/>
  <c r="E6" i="1"/>
  <c r="E9" i="1"/>
  <c r="E12" i="1"/>
  <c r="H13" i="2"/>
  <c r="K13" i="2" s="1"/>
  <c r="E5" i="1" l="1"/>
  <c r="E8" i="1"/>
  <c r="E11" i="1"/>
  <c r="L8" i="3"/>
  <c r="L7" i="3"/>
  <c r="L6" i="3"/>
  <c r="G14" i="2" l="1"/>
  <c r="I14" i="2" s="1"/>
  <c r="J14" i="2" s="1"/>
  <c r="G15" i="2"/>
  <c r="I15" i="2" s="1"/>
  <c r="J15" i="2" s="1"/>
  <c r="G13" i="2"/>
  <c r="I13" i="2" s="1"/>
  <c r="J13" i="2" s="1"/>
  <c r="D5" i="1" l="1"/>
  <c r="D8" i="1"/>
  <c r="D11" i="1"/>
  <c r="D13" i="1"/>
  <c r="D7" i="1"/>
  <c r="D10" i="1"/>
  <c r="D9" i="1"/>
  <c r="D12" i="1"/>
  <c r="D6" i="1"/>
  <c r="F11" i="1"/>
  <c r="F12" i="1"/>
  <c r="F13" i="1"/>
  <c r="F8" i="1"/>
  <c r="F9" i="1"/>
  <c r="F10" i="1"/>
  <c r="F5" i="1"/>
  <c r="F6" i="1"/>
  <c r="F7" i="1"/>
  <c r="J6" i="1" l="1"/>
  <c r="J7" i="1"/>
  <c r="J5" i="1"/>
  <c r="J10" i="1" l="1"/>
  <c r="J9" i="1"/>
  <c r="J8" i="1"/>
  <c r="G13" i="1"/>
  <c r="J13" i="1" s="1"/>
  <c r="G12" i="1"/>
  <c r="J12" i="1" s="1"/>
  <c r="G11" i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O6" i="1" l="1"/>
  <c r="O5" i="1"/>
  <c r="I5" i="1"/>
  <c r="L8" i="1"/>
  <c r="L12" i="1"/>
  <c r="L5" i="1"/>
  <c r="L9" i="1"/>
  <c r="L13" i="1"/>
  <c r="L6" i="1"/>
  <c r="L10" i="1"/>
  <c r="L7" i="1"/>
  <c r="L11" i="1"/>
  <c r="G14" i="1"/>
  <c r="J11" i="1"/>
  <c r="H14" i="1"/>
  <c r="K14" i="1"/>
  <c r="O7" i="1" s="1"/>
  <c r="I14" i="1" l="1"/>
  <c r="L14" i="1"/>
  <c r="O8" i="1" s="1"/>
  <c r="O9" i="1" l="1"/>
  <c r="J14" i="1"/>
</calcChain>
</file>

<file path=xl/sharedStrings.xml><?xml version="1.0" encoding="utf-8"?>
<sst xmlns="http://schemas.openxmlformats.org/spreadsheetml/2006/main" count="140" uniqueCount="87">
  <si>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</si>
  <si>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</si>
  <si>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</si>
  <si>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</si>
  <si>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</si>
  <si>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</si>
  <si>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</si>
  <si>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</si>
  <si>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</si>
  <si>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</si>
  <si>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</si>
  <si>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</si>
  <si>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</si>
  <si>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</si>
  <si>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</si>
  <si>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</si>
  <si>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</si>
  <si>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</si>
  <si>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</si>
  <si>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</si>
  <si>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</si>
  <si>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</si>
  <si>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</si>
  <si>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</si>
  <si>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</si>
  <si>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</si>
  <si>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</si>
  <si>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</si>
  <si>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</si>
  <si>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</si>
  <si>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</si>
  <si>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</si>
  <si>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</si>
  <si>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</si>
  <si>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</si>
  <si>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</si>
  <si>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</si>
  <si>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</si>
  <si>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</si>
  <si>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</si>
  <si>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</si>
  <si>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</si>
  <si>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</si>
  <si>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</si>
  <si>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</si>
  <si>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</si>
  <si>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</si>
  <si>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</si>
  <si>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</si>
  <si>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</si>
  <si>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</si>
  <si>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</si>
  <si>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</si>
  <si>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</si>
  <si>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</si>
  <si>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</si>
  <si>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</si>
  <si>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</si>
  <si>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</si>
  <si>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</si>
  <si>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</si>
  <si>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CET</t>
  </si>
  <si>
    <t>9T/2019</t>
  </si>
  <si>
    <t xml:space="preserve">[MW] </t>
  </si>
  <si>
    <t>Facturación con Factor</t>
  </si>
  <si>
    <t>Febrero</t>
  </si>
  <si>
    <t>PNP 9T-19 (oct-19 a mar-20)</t>
  </si>
  <si>
    <t>Fmodulacion P</t>
  </si>
  <si>
    <t xml:space="preserve">Factor Ajuste Energía </t>
  </si>
  <si>
    <t>Factor Ajuste Potencia</t>
  </si>
  <si>
    <t>COOPELAN</t>
  </si>
  <si>
    <t>COOPELAN_Charrua 220</t>
  </si>
  <si>
    <t>Cautin 220</t>
  </si>
  <si>
    <t>COOPELAN_Cautin 220</t>
  </si>
  <si>
    <t>Temuco 220</t>
  </si>
  <si>
    <t>COOPELAN_Temuco 220</t>
  </si>
  <si>
    <t>CHARRUA 220</t>
  </si>
  <si>
    <t>CAUTIN 220</t>
  </si>
  <si>
    <t>TEMUCO 220</t>
  </si>
  <si>
    <t>CHARRUA</t>
  </si>
  <si>
    <t>CAUTIN</t>
  </si>
  <si>
    <t>TEMUCO</t>
  </si>
  <si>
    <t>Energia incluido descuento CET [US$/MWh]</t>
  </si>
  <si>
    <t xml:space="preserve">Nota: </t>
  </si>
  <si>
    <t>El Precio de la Energía incluye el descuento por CET</t>
  </si>
  <si>
    <t>Capacity: 1,267 kW</t>
  </si>
  <si>
    <t>Active Energy: 856,422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</si>
</sst>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8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3" fontId="0" fillId="0" borderId="17" xfId="3" applyNumberFormat="1" applyFont="1" applyBorder="1" applyAlignment="1">
      <alignment horizontal="center"/>
    </xf>
    <xf numFmtId="3" fontId="0" fillId="0" borderId="27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166" fontId="0" fillId="0" borderId="1" xfId="0" applyNumberFormat="1" applyBorder="1"/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171" fontId="4" fillId="0" borderId="10" xfId="0" applyNumberFormat="1" applyFont="1" applyBorder="1" applyAlignment="1">
      <alignment horizontal="center"/>
    </xf>
    <xf numFmtId="166" fontId="0" fillId="0" borderId="3" xfId="0" applyNumberFormat="1" applyBorder="1"/>
    <xf numFmtId="0" fontId="2" fillId="3" borderId="17" xfId="0" applyFont="1" applyFill="1" applyBorder="1" applyAlignment="1">
      <alignment horizontal="right"/>
    </xf>
    <xf numFmtId="166" fontId="2" fillId="3" borderId="3" xfId="0" applyNumberFormat="1" applyFont="1" applyFill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9"/>
  <sheetViews>
    <sheetView tabSelected="1" topLeftCell="C1" zoomScale="90" zoomScaleNormal="90" workbookViewId="0">
      <selection activeCell="E5" sqref="E5:E6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19" customFormat="1" x14ac:dyDescent="0.25">
      <c r="A2" s="95"/>
      <c r="B2" s="95"/>
      <c r="C2" s="106"/>
      <c r="D2" s="107"/>
      <c r="E2" s="95"/>
      <c r="F2" s="88"/>
      <c r="G2" s="88"/>
      <c r="H2" s="89"/>
      <c r="I2" s="119" t="s">
        <v>16</v>
      </c>
      <c r="J2" s="120"/>
      <c r="K2" s="120"/>
      <c r="L2" s="121"/>
    </row>
    <row r="3" spans="1:15" x14ac:dyDescent="0.25">
      <c r="A3" s="122" t="s">
        <v>15</v>
      </c>
      <c r="B3" s="125" t="s">
        <v>0</v>
      </c>
      <c r="C3" s="127" t="s">
        <v>1</v>
      </c>
      <c r="D3" s="99" t="s">
        <v>2</v>
      </c>
      <c r="E3" s="97" t="s">
        <v>3</v>
      </c>
      <c r="F3" s="37" t="s">
        <v>47</v>
      </c>
      <c r="G3" s="1" t="s">
        <v>4</v>
      </c>
      <c r="H3" s="2" t="s">
        <v>5</v>
      </c>
      <c r="I3" s="78" t="s">
        <v>36</v>
      </c>
      <c r="J3" s="77" t="s">
        <v>4</v>
      </c>
      <c r="K3" s="77" t="s">
        <v>35</v>
      </c>
      <c r="L3" s="58" t="s">
        <v>47</v>
      </c>
      <c r="N3" s="124" t="s">
        <v>64</v>
      </c>
      <c r="O3" s="124"/>
    </row>
    <row r="4" spans="1:15" ht="15" x14ac:dyDescent="0.25">
      <c r="A4" s="123"/>
      <c r="B4" s="126"/>
      <c r="C4" s="128"/>
      <c r="D4" s="100" t="s">
        <v>6</v>
      </c>
      <c r="E4" s="98" t="s">
        <v>7</v>
      </c>
      <c r="F4" s="38" t="s">
        <v>54</v>
      </c>
      <c r="G4" s="3" t="s">
        <v>63</v>
      </c>
      <c r="H4" s="4" t="s">
        <v>8</v>
      </c>
      <c r="I4" s="108" t="s">
        <v>14</v>
      </c>
      <c r="J4" s="109" t="s">
        <v>14</v>
      </c>
      <c r="K4" s="109" t="s">
        <v>14</v>
      </c>
      <c r="L4" s="110" t="s">
        <v>14</v>
      </c>
      <c r="N4" s="11"/>
      <c r="O4" s="12" t="s">
        <v>70</v>
      </c>
    </row>
    <row r="5" spans="1:15" x14ac:dyDescent="0.25">
      <c r="A5" t="s">
        <v>41</v>
      </c>
      <c r="B5" s="5" t="s">
        <v>9</v>
      </c>
      <c r="C5" s="6" t="s">
        <v>40</v>
      </c>
      <c r="D5" s="21">
        <f>ROUND(VLOOKUP($C5,Px!$B$13:$N$15,9,0),2)</f>
        <v>5424.77</v>
      </c>
      <c r="E5" s="116">
        <f>ROUND(VLOOKUP($C5,Px!$B$13:$N$15,10,0),3)</f>
        <v>46.76</v>
      </c>
      <c r="F5" s="59">
        <f>Px!L13</f>
        <v>5.980771545446177</v>
      </c>
      <c r="G5" s="7"/>
      <c r="H5" s="67">
        <f>COOPELAN!I6/1000</f>
        <v>27.011085602232711</v>
      </c>
      <c r="I5" s="79">
        <f t="shared" ref="I5:I13" si="0">H5*E5*1000</f>
        <v>1263038.3627604016</v>
      </c>
      <c r="J5" s="8">
        <f t="shared" ref="J5:J13" si="1">G5*D5*1000</f>
        <v>0</v>
      </c>
      <c r="K5" s="8"/>
      <c r="L5" s="80">
        <f t="shared" ref="L5:L13" si="2">H5*F5*1000</f>
        <v>161547.13218144432</v>
      </c>
      <c r="N5" s="13" t="s">
        <v>86</v>
      </c>
      <c r="O5" s="14">
        <f>SUMPRODUCT(E5:E13,H5:H13)*1000</f>
        <v>39481720.137396283</v>
      </c>
    </row>
    <row r="6" spans="1:15" x14ac:dyDescent="0.25">
      <c r="A6" t="s">
        <v>41</v>
      </c>
      <c r="B6" t="s">
        <v>9</v>
      </c>
      <c r="C6" s="9" t="s">
        <v>72</v>
      </c>
      <c r="D6" s="20">
        <f>ROUND(VLOOKUP($C6,Px!$B$13:$N$15,9,0),2)</f>
        <v>5255.28</v>
      </c>
      <c r="E6" s="117">
        <f>ROUND(VLOOKUP($C6,Px!$B$13:$N$15,10,0),3)</f>
        <v>46.079000000000001</v>
      </c>
      <c r="F6" s="60">
        <f>Px!L14</f>
        <v>5.980771545446177</v>
      </c>
      <c r="G6" s="10"/>
      <c r="H6" s="68">
        <f>COOPELAN!F6/1000</f>
        <v>184.47289418104955</v>
      </c>
      <c r="I6" s="81">
        <f t="shared" si="0"/>
        <v>8500326.4909685813</v>
      </c>
      <c r="J6" s="82">
        <f t="shared" si="1"/>
        <v>0</v>
      </c>
      <c r="K6" s="82"/>
      <c r="L6" s="83">
        <f t="shared" si="2"/>
        <v>1103290.2364241248</v>
      </c>
      <c r="N6" s="13" t="s">
        <v>85</v>
      </c>
      <c r="O6" s="14">
        <f>SUMPRODUCT(D5:D13,G5:G13)*1000</f>
        <v>6680725.194715105</v>
      </c>
    </row>
    <row r="7" spans="1:15" x14ac:dyDescent="0.25">
      <c r="A7" t="s">
        <v>41</v>
      </c>
      <c r="B7" t="s">
        <v>9</v>
      </c>
      <c r="C7" s="9" t="s">
        <v>74</v>
      </c>
      <c r="D7" s="20">
        <f>ROUND(VLOOKUP($C7,Px!$B$13:$N$15,9,0),2)</f>
        <v>5251.85</v>
      </c>
      <c r="E7" s="117">
        <f>ROUND(VLOOKUP($C7,Px!$B$13:$N$15,10,0),3)</f>
        <v>45.804000000000002</v>
      </c>
      <c r="F7" s="60">
        <f>Px!L15</f>
        <v>5.980771545446177</v>
      </c>
      <c r="G7" s="10"/>
      <c r="H7" s="68">
        <f>COOPELAN!C6/1000</f>
        <v>46.449661339877899</v>
      </c>
      <c r="I7" s="81">
        <f t="shared" si="0"/>
        <v>2127580.2880117674</v>
      </c>
      <c r="J7" s="82">
        <f t="shared" si="1"/>
        <v>0</v>
      </c>
      <c r="K7" s="82"/>
      <c r="L7" s="83">
        <f t="shared" si="2"/>
        <v>277804.81283715309</v>
      </c>
      <c r="N7" s="13" t="s">
        <v>13</v>
      </c>
      <c r="O7" s="14">
        <f>K14</f>
        <v>0</v>
      </c>
    </row>
    <row r="8" spans="1:15" x14ac:dyDescent="0.25">
      <c r="A8" t="s">
        <v>41</v>
      </c>
      <c r="B8" t="s">
        <v>10</v>
      </c>
      <c r="C8" s="9" t="s">
        <v>40</v>
      </c>
      <c r="D8" s="20">
        <f>ROUND(VLOOKUP($C8,Px!$B$13:$N$15,9,0),2)</f>
        <v>5424.77</v>
      </c>
      <c r="E8" s="117">
        <f>ROUND(VLOOKUP($C8,Px!$B$13:$N$15,10,0),3)</f>
        <v>46.76</v>
      </c>
      <c r="F8" s="60">
        <f>Px!M13</f>
        <v>19.080435595907318</v>
      </c>
      <c r="G8" s="10"/>
      <c r="H8" s="68">
        <f>COOPELAN!J7/1000</f>
        <v>40.129213503883264</v>
      </c>
      <c r="I8" s="81">
        <f t="shared" si="0"/>
        <v>1876442.0234415813</v>
      </c>
      <c r="J8" s="82">
        <f t="shared" si="1"/>
        <v>0</v>
      </c>
      <c r="K8" s="82"/>
      <c r="L8" s="83">
        <f t="shared" si="2"/>
        <v>765682.87377525878</v>
      </c>
      <c r="N8" s="13" t="s">
        <v>47</v>
      </c>
      <c r="O8" s="14">
        <f>L14</f>
        <v>12854452.829081198</v>
      </c>
    </row>
    <row r="9" spans="1:15" x14ac:dyDescent="0.25">
      <c r="A9" t="s">
        <v>41</v>
      </c>
      <c r="B9" t="s">
        <v>10</v>
      </c>
      <c r="C9" s="9" t="s">
        <v>72</v>
      </c>
      <c r="D9" s="20">
        <f>ROUND(VLOOKUP($C9,Px!$B$13:$N$15,9,0),2)</f>
        <v>5255.28</v>
      </c>
      <c r="E9" s="117">
        <f>ROUND(VLOOKUP($C9,Px!$B$13:$N$15,10,0),3)</f>
        <v>46.079000000000001</v>
      </c>
      <c r="F9" s="60">
        <f>Px!M14</f>
        <v>19.080435595907318</v>
      </c>
      <c r="G9" s="10"/>
      <c r="H9" s="68">
        <f>COOPELAN!G7/1000</f>
        <v>274.04768586618985</v>
      </c>
      <c r="I9" s="81">
        <f t="shared" si="0"/>
        <v>12627843.317028163</v>
      </c>
      <c r="J9" s="82">
        <f t="shared" si="1"/>
        <v>0</v>
      </c>
      <c r="K9" s="82"/>
      <c r="L9" s="83">
        <f t="shared" si="2"/>
        <v>5228949.2203772748</v>
      </c>
      <c r="N9" s="15" t="s">
        <v>12</v>
      </c>
      <c r="O9" s="16">
        <f>SUM(O5:O8)</f>
        <v>59016898.161192589</v>
      </c>
    </row>
    <row r="10" spans="1:15" x14ac:dyDescent="0.25">
      <c r="A10" t="s">
        <v>41</v>
      </c>
      <c r="B10" t="s">
        <v>10</v>
      </c>
      <c r="C10" s="9" t="s">
        <v>74</v>
      </c>
      <c r="D10" s="20">
        <f>ROUND(VLOOKUP($C10,Px!$B$13:$N$15,9,0),2)</f>
        <v>5251.85</v>
      </c>
      <c r="E10" s="117">
        <f>ROUND(VLOOKUP($C10,Px!$B$13:$N$15,10,0),3)</f>
        <v>45.804000000000002</v>
      </c>
      <c r="F10" s="60">
        <f>Px!M15</f>
        <v>19.080435595907318</v>
      </c>
      <c r="G10" s="10"/>
      <c r="H10" s="68">
        <f>COOPELAN!D7/1000</f>
        <v>68.989149981397716</v>
      </c>
      <c r="I10" s="81">
        <f t="shared" si="0"/>
        <v>3159979.0257479413</v>
      </c>
      <c r="J10" s="82">
        <f t="shared" si="1"/>
        <v>0</v>
      </c>
      <c r="K10" s="82"/>
      <c r="L10" s="83">
        <f t="shared" si="2"/>
        <v>1316343.0330364497</v>
      </c>
    </row>
    <row r="11" spans="1:15" x14ac:dyDescent="0.25">
      <c r="A11" t="s">
        <v>41</v>
      </c>
      <c r="B11" t="s">
        <v>11</v>
      </c>
      <c r="C11" s="9" t="s">
        <v>40</v>
      </c>
      <c r="D11" s="20">
        <f>ROUND(VLOOKUP($C11,Px!$B$13:$N$15,9,0),2)</f>
        <v>5424.77</v>
      </c>
      <c r="E11" s="117">
        <f>ROUND(VLOOKUP($C11,Px!$B$13:$N$15,10,0),3)</f>
        <v>46.76</v>
      </c>
      <c r="F11" s="60">
        <f>Px!N13</f>
        <v>18.580705147472244</v>
      </c>
      <c r="G11" s="136">
        <f>COOPELAN!R8/1000</f>
        <v>0.13267028640946565</v>
      </c>
      <c r="H11" s="68">
        <f>COOPELAN!K8/1000</f>
        <v>22.544862543059256</v>
      </c>
      <c r="I11" s="81">
        <f t="shared" si="0"/>
        <v>1054197.7725134506</v>
      </c>
      <c r="J11" s="82">
        <f t="shared" si="1"/>
        <v>719705.78960547713</v>
      </c>
      <c r="K11" s="82"/>
      <c r="L11" s="83">
        <f t="shared" si="2"/>
        <v>418899.44350287534</v>
      </c>
    </row>
    <row r="12" spans="1:15" x14ac:dyDescent="0.25">
      <c r="A12" t="s">
        <v>41</v>
      </c>
      <c r="B12" t="s">
        <v>11</v>
      </c>
      <c r="C12" s="9" t="s">
        <v>72</v>
      </c>
      <c r="D12" s="20">
        <f>ROUND(VLOOKUP($C12,Px!$B$13:$N$15,9,0),2)</f>
        <v>5255.28</v>
      </c>
      <c r="E12" s="117">
        <f>ROUND(VLOOKUP($C12,Px!$B$13:$N$15,10,0),3)</f>
        <v>46.079000000000001</v>
      </c>
      <c r="F12" s="60">
        <f>Px!N14</f>
        <v>18.580705147472244</v>
      </c>
      <c r="G12" s="136">
        <f>COOPELAN!Q8/1000</f>
        <v>0.90617401435744593</v>
      </c>
      <c r="H12" s="68">
        <f>COOPELAN!H8/1000</f>
        <v>153.98752159717375</v>
      </c>
      <c r="I12" s="81">
        <f t="shared" si="0"/>
        <v>7095591.0076761693</v>
      </c>
      <c r="J12" s="82">
        <f t="shared" si="1"/>
        <v>4762198.1741723986</v>
      </c>
      <c r="K12" s="82"/>
      <c r="L12" s="83">
        <f t="shared" si="2"/>
        <v>2861196.7351870998</v>
      </c>
    </row>
    <row r="13" spans="1:15" x14ac:dyDescent="0.25">
      <c r="A13" t="s">
        <v>41</v>
      </c>
      <c r="B13" t="s">
        <v>11</v>
      </c>
      <c r="C13" s="9" t="s">
        <v>74</v>
      </c>
      <c r="D13" s="20">
        <f>ROUND(VLOOKUP($C13,Px!$B$13:$N$15,9,0),2)</f>
        <v>5251.85</v>
      </c>
      <c r="E13" s="118">
        <f>ROUND(VLOOKUP($C13,Px!$B$13:$N$15,10,0),3)</f>
        <v>45.804000000000002</v>
      </c>
      <c r="F13" s="61">
        <f>Px!N15</f>
        <v>18.580705147472244</v>
      </c>
      <c r="G13" s="137">
        <f>COOPELAN!P8/1000</f>
        <v>0.22826646437678721</v>
      </c>
      <c r="H13" s="69">
        <f>COOPELAN!E8/1000</f>
        <v>38.789665733303416</v>
      </c>
      <c r="I13" s="84">
        <f t="shared" si="0"/>
        <v>1776721.8492482298</v>
      </c>
      <c r="J13" s="18">
        <f t="shared" si="1"/>
        <v>1198821.2309372299</v>
      </c>
      <c r="K13" s="18"/>
      <c r="L13" s="85">
        <f t="shared" si="2"/>
        <v>720739.34175951849</v>
      </c>
    </row>
    <row r="14" spans="1:15" ht="15" x14ac:dyDescent="0.25">
      <c r="A14" s="22"/>
      <c r="B14" s="22"/>
      <c r="C14" s="22"/>
      <c r="D14" s="22"/>
      <c r="E14" s="57"/>
      <c r="F14" s="114" t="s">
        <v>12</v>
      </c>
      <c r="G14" s="138">
        <f t="shared" ref="G14:H14" si="3">SUM(G5:G13)</f>
        <v>1.2671107651436988</v>
      </c>
      <c r="H14" s="115">
        <f t="shared" si="3"/>
        <v>856.42174034816742</v>
      </c>
      <c r="I14" s="86">
        <f>SUM(I5:I13)</f>
        <v>39481720.137396283</v>
      </c>
      <c r="J14" s="17">
        <f>SUM(J5:J13)</f>
        <v>6680725.194715105</v>
      </c>
      <c r="K14" s="17">
        <f t="shared" ref="K14" si="4">SUM(K5:K13)</f>
        <v>0</v>
      </c>
      <c r="L14" s="87">
        <f t="shared" ref="L14" si="5">SUM(L5:L13)</f>
        <v>12854452.829081198</v>
      </c>
    </row>
    <row r="16" spans="1:15" x14ac:dyDescent="0.25">
      <c r="F16" s="13" t="s">
        <v>83</v>
      </c>
      <c r="G16" t="s">
        <v>84</v>
      </c>
    </row>
    <row r="20" spans="9:15" ht="15" x14ac:dyDescent="0.25">
      <c r="I20" s="96"/>
    </row>
    <row r="26" spans="9:15" x14ac:dyDescent="0.25">
      <c r="N26" s="19"/>
      <c r="O26" s="19"/>
    </row>
    <row r="27" spans="9:15" s="19" customFormat="1" ht="20.25" customHeight="1" x14ac:dyDescent="0.25">
      <c r="N27"/>
      <c r="O27"/>
    </row>
    <row r="29" spans="9:15" x14ac:dyDescent="0.25">
      <c r="I29" s="14"/>
      <c r="J29" s="14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topLeftCell="C1" workbookViewId="0">
      <selection activeCell="L6" sqref="L6:L8"/>
    </sheetView>
  </sheetViews>
  <sheetFormatPr baseColWidth="10" defaultRowHeight="13.5" x14ac:dyDescent="0.25"/>
  <cols>
    <col min="1" max="1" width="21" bestFit="1" customWidth="1"/>
    <col min="13" max="13" width="13.85546875" bestFit="1" customWidth="1"/>
    <col min="19" max="21" width="3.7109375" customWidth="1"/>
  </cols>
  <sheetData>
    <row r="2" spans="1:22" ht="14.25" thickBot="1" x14ac:dyDescent="0.3"/>
    <row r="3" spans="1:22" ht="15.75" thickBot="1" x14ac:dyDescent="0.3">
      <c r="A3" s="39" t="s">
        <v>42</v>
      </c>
      <c r="B3" s="39" t="s">
        <v>65</v>
      </c>
      <c r="C3" s="129" t="s">
        <v>43</v>
      </c>
      <c r="D3" s="130"/>
      <c r="E3" s="130"/>
      <c r="F3" s="130"/>
      <c r="G3" s="130"/>
      <c r="H3" s="130"/>
      <c r="I3" s="130"/>
      <c r="J3" s="130"/>
      <c r="K3" s="130"/>
      <c r="L3" s="131"/>
      <c r="M3" s="129" t="s">
        <v>23</v>
      </c>
      <c r="N3" s="130"/>
      <c r="O3" s="130"/>
      <c r="P3" s="130"/>
      <c r="Q3" s="130"/>
      <c r="R3" s="131"/>
      <c r="U3" s="40"/>
      <c r="V3" s="41"/>
    </row>
    <row r="4" spans="1:22" ht="15.75" thickBot="1" x14ac:dyDescent="0.3">
      <c r="C4" s="132" t="s">
        <v>76</v>
      </c>
      <c r="D4" s="132"/>
      <c r="E4" s="132"/>
      <c r="F4" s="132" t="s">
        <v>77</v>
      </c>
      <c r="G4" s="132"/>
      <c r="H4" s="132"/>
      <c r="I4" s="132" t="s">
        <v>78</v>
      </c>
      <c r="J4" s="132"/>
      <c r="K4" s="132"/>
      <c r="L4" s="133" t="s">
        <v>44</v>
      </c>
      <c r="M4" s="129" t="s">
        <v>45</v>
      </c>
      <c r="N4" s="130"/>
      <c r="O4" s="130"/>
      <c r="P4" s="130" t="s">
        <v>46</v>
      </c>
      <c r="Q4" s="130"/>
      <c r="R4" s="135"/>
      <c r="V4" s="42"/>
    </row>
    <row r="5" spans="1:22" ht="15.75" thickBot="1" x14ac:dyDescent="0.3">
      <c r="A5" s="43" t="s">
        <v>48</v>
      </c>
      <c r="B5" s="44" t="s">
        <v>49</v>
      </c>
      <c r="C5" s="45" t="s">
        <v>37</v>
      </c>
      <c r="D5" s="46" t="s">
        <v>38</v>
      </c>
      <c r="E5" s="47" t="s">
        <v>39</v>
      </c>
      <c r="F5" s="45" t="s">
        <v>37</v>
      </c>
      <c r="G5" s="46" t="s">
        <v>38</v>
      </c>
      <c r="H5" s="47" t="s">
        <v>39</v>
      </c>
      <c r="I5" s="45" t="s">
        <v>37</v>
      </c>
      <c r="J5" s="46" t="s">
        <v>38</v>
      </c>
      <c r="K5" s="47" t="s">
        <v>39</v>
      </c>
      <c r="L5" s="134"/>
      <c r="M5" s="48" t="s">
        <v>79</v>
      </c>
      <c r="N5" s="48" t="s">
        <v>80</v>
      </c>
      <c r="O5" s="48" t="s">
        <v>81</v>
      </c>
      <c r="P5" s="48" t="s">
        <v>79</v>
      </c>
      <c r="Q5" s="49" t="s">
        <v>80</v>
      </c>
      <c r="R5" s="49" t="s">
        <v>81</v>
      </c>
      <c r="V5" s="42"/>
    </row>
    <row r="6" spans="1:22" ht="15" x14ac:dyDescent="0.25">
      <c r="A6" s="50" t="s">
        <v>50</v>
      </c>
      <c r="B6" s="51" t="s">
        <v>51</v>
      </c>
      <c r="C6" s="92">
        <v>46449.661339877901</v>
      </c>
      <c r="D6" s="93">
        <v>0</v>
      </c>
      <c r="E6" s="93">
        <v>0</v>
      </c>
      <c r="F6" s="93">
        <v>184472.89418104955</v>
      </c>
      <c r="G6" s="93">
        <v>0</v>
      </c>
      <c r="H6" s="93">
        <v>0</v>
      </c>
      <c r="I6" s="93">
        <v>27011.08560223271</v>
      </c>
      <c r="J6" s="93">
        <v>0</v>
      </c>
      <c r="K6" s="94">
        <v>0</v>
      </c>
      <c r="L6" s="91">
        <f>SUM(C6:K6)</f>
        <v>257933.64112316017</v>
      </c>
      <c r="M6" s="52"/>
      <c r="N6" s="53"/>
      <c r="O6" s="53"/>
      <c r="P6" s="54">
        <v>0</v>
      </c>
      <c r="Q6" s="54">
        <v>0</v>
      </c>
      <c r="R6" s="54">
        <v>0</v>
      </c>
      <c r="S6" s="55"/>
      <c r="V6" s="56"/>
    </row>
    <row r="7" spans="1:22" ht="15" x14ac:dyDescent="0.25">
      <c r="A7" s="50" t="s">
        <v>50</v>
      </c>
      <c r="B7" s="51" t="s">
        <v>52</v>
      </c>
      <c r="C7" s="92">
        <v>0</v>
      </c>
      <c r="D7" s="93">
        <v>68989.149981397713</v>
      </c>
      <c r="E7" s="93">
        <v>0</v>
      </c>
      <c r="F7" s="93">
        <v>0</v>
      </c>
      <c r="G7" s="93">
        <v>274047.68586618983</v>
      </c>
      <c r="H7" s="93">
        <v>0</v>
      </c>
      <c r="I7" s="93">
        <v>0</v>
      </c>
      <c r="J7" s="93">
        <v>40129.213503883264</v>
      </c>
      <c r="K7" s="94">
        <v>0</v>
      </c>
      <c r="L7" s="91">
        <f t="shared" ref="L7:L8" si="0">SUM(C7:K7)</f>
        <v>383166.04935147084</v>
      </c>
      <c r="M7" s="52"/>
      <c r="N7" s="53"/>
      <c r="O7" s="53"/>
      <c r="P7" s="54">
        <v>0</v>
      </c>
      <c r="Q7" s="54">
        <v>0</v>
      </c>
      <c r="R7" s="54">
        <v>0</v>
      </c>
      <c r="S7" s="55"/>
      <c r="V7" s="56"/>
    </row>
    <row r="8" spans="1:22" ht="15" x14ac:dyDescent="0.25">
      <c r="A8" s="50" t="s">
        <v>50</v>
      </c>
      <c r="B8" s="51" t="s">
        <v>53</v>
      </c>
      <c r="C8" s="92">
        <v>0</v>
      </c>
      <c r="D8" s="93">
        <v>0</v>
      </c>
      <c r="E8" s="93">
        <v>38789.665733303416</v>
      </c>
      <c r="F8" s="93">
        <v>0</v>
      </c>
      <c r="G8" s="93">
        <v>0</v>
      </c>
      <c r="H8" s="93">
        <v>153987.52159717376</v>
      </c>
      <c r="I8" s="93">
        <v>0</v>
      </c>
      <c r="J8" s="93">
        <v>0</v>
      </c>
      <c r="K8" s="94">
        <v>22544.862543059255</v>
      </c>
      <c r="L8" s="91">
        <f t="shared" si="0"/>
        <v>215322.04987353642</v>
      </c>
      <c r="M8" s="52"/>
      <c r="N8" s="53"/>
      <c r="O8" s="53"/>
      <c r="P8" s="54">
        <v>228.26646437678721</v>
      </c>
      <c r="Q8" s="54">
        <v>906.17401435744591</v>
      </c>
      <c r="R8" s="54">
        <v>132.67028640946566</v>
      </c>
      <c r="S8" s="55"/>
      <c r="V8" s="56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16"/>
  <sheetViews>
    <sheetView zoomScaleNormal="100" workbookViewId="0">
      <selection activeCell="K13" sqref="K13:K15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" bestFit="1" customWidth="1"/>
    <col min="4" max="4" width="24.28515625" bestFit="1" customWidth="1"/>
    <col min="6" max="6" width="15.7109375" customWidth="1"/>
    <col min="7" max="7" width="18.7109375" bestFit="1" customWidth="1"/>
    <col min="14" max="14" width="12" customWidth="1"/>
  </cols>
  <sheetData>
    <row r="2" spans="1:15" x14ac:dyDescent="0.25">
      <c r="A2" s="23" t="s">
        <v>17</v>
      </c>
      <c r="B2" s="24"/>
      <c r="C2" s="24" t="s">
        <v>18</v>
      </c>
      <c r="D2" s="25" t="s">
        <v>19</v>
      </c>
      <c r="E2" s="26"/>
      <c r="F2" s="26"/>
      <c r="G2" s="26"/>
    </row>
    <row r="3" spans="1:15" x14ac:dyDescent="0.25">
      <c r="A3" s="27" t="s">
        <v>20</v>
      </c>
      <c r="B3" s="26" t="s">
        <v>21</v>
      </c>
      <c r="C3" s="26">
        <v>79.322000000000003</v>
      </c>
      <c r="D3" s="28" t="s">
        <v>22</v>
      </c>
      <c r="E3" s="26"/>
      <c r="F3" s="26"/>
      <c r="G3" s="26"/>
    </row>
    <row r="4" spans="1:15" x14ac:dyDescent="0.25">
      <c r="A4" s="29" t="s">
        <v>23</v>
      </c>
      <c r="B4" s="30" t="s">
        <v>24</v>
      </c>
      <c r="C4" s="30">
        <v>8.3592999999999993</v>
      </c>
      <c r="D4" s="31" t="s">
        <v>22</v>
      </c>
      <c r="E4" s="26"/>
      <c r="F4" s="26"/>
      <c r="G4" s="26"/>
    </row>
    <row r="5" spans="1:15" x14ac:dyDescent="0.25">
      <c r="A5" s="23" t="s">
        <v>17</v>
      </c>
      <c r="B5" s="24"/>
      <c r="C5" s="24" t="s">
        <v>18</v>
      </c>
      <c r="D5" s="25" t="s">
        <v>19</v>
      </c>
      <c r="E5" s="26"/>
      <c r="F5" s="26"/>
      <c r="G5" s="23" t="s">
        <v>61</v>
      </c>
      <c r="H5" s="90">
        <v>3.1229778586642722</v>
      </c>
    </row>
    <row r="6" spans="1:15" x14ac:dyDescent="0.25">
      <c r="A6" s="27" t="s">
        <v>25</v>
      </c>
      <c r="B6" s="26"/>
      <c r="C6" s="26">
        <v>694.38</v>
      </c>
      <c r="D6" s="28" t="s">
        <v>66</v>
      </c>
      <c r="E6" s="26"/>
      <c r="F6" s="26"/>
      <c r="G6" s="103" t="s">
        <v>68</v>
      </c>
      <c r="H6" s="104">
        <v>0.87547584419575841</v>
      </c>
    </row>
    <row r="7" spans="1:15" x14ac:dyDescent="0.25">
      <c r="A7" s="27" t="s">
        <v>26</v>
      </c>
      <c r="B7" s="26"/>
      <c r="C7" s="32">
        <v>255.22200000000001</v>
      </c>
      <c r="D7" s="28"/>
      <c r="E7" s="26"/>
      <c r="F7" s="26"/>
      <c r="G7" s="105" t="s">
        <v>69</v>
      </c>
      <c r="H7" s="113">
        <v>0.913295382872503</v>
      </c>
      <c r="O7" s="90"/>
    </row>
    <row r="8" spans="1:15" x14ac:dyDescent="0.25">
      <c r="A8" s="27" t="s">
        <v>27</v>
      </c>
      <c r="B8" s="26"/>
      <c r="C8" s="33">
        <v>237.09</v>
      </c>
      <c r="D8" s="34" t="s">
        <v>28</v>
      </c>
      <c r="E8" s="26"/>
      <c r="F8" s="26"/>
      <c r="G8" s="26"/>
      <c r="O8" s="90"/>
    </row>
    <row r="9" spans="1:15" x14ac:dyDescent="0.25">
      <c r="A9" s="29" t="s">
        <v>29</v>
      </c>
      <c r="B9" s="30"/>
      <c r="C9" s="35"/>
      <c r="D9" s="36" t="s">
        <v>62</v>
      </c>
      <c r="E9" s="26"/>
      <c r="F9" s="26"/>
      <c r="G9" s="26"/>
      <c r="O9" s="90"/>
    </row>
    <row r="10" spans="1:15" x14ac:dyDescent="0.25">
      <c r="A10" s="26"/>
      <c r="B10" s="26"/>
      <c r="C10" s="26"/>
      <c r="D10" s="26"/>
      <c r="E10" s="26"/>
      <c r="F10" s="26"/>
      <c r="G10" s="26"/>
    </row>
    <row r="11" spans="1:15" x14ac:dyDescent="0.25">
      <c r="A11" s="62"/>
      <c r="B11" s="62"/>
      <c r="C11" s="63"/>
      <c r="D11" s="62"/>
      <c r="E11" s="62"/>
      <c r="F11" s="62"/>
      <c r="G11" s="62"/>
      <c r="H11" s="64"/>
      <c r="I11" s="101"/>
      <c r="J11" s="64"/>
      <c r="L11" s="65" t="s">
        <v>9</v>
      </c>
      <c r="M11" s="65" t="s">
        <v>10</v>
      </c>
      <c r="N11" s="66" t="s">
        <v>11</v>
      </c>
    </row>
    <row r="12" spans="1:15" ht="38.25" x14ac:dyDescent="0.25">
      <c r="A12" s="70" t="s">
        <v>55</v>
      </c>
      <c r="B12" s="70" t="s">
        <v>30</v>
      </c>
      <c r="C12" s="70" t="s">
        <v>56</v>
      </c>
      <c r="D12" s="70" t="s">
        <v>31</v>
      </c>
      <c r="E12" s="70" t="s">
        <v>67</v>
      </c>
      <c r="F12" s="70" t="s">
        <v>82</v>
      </c>
      <c r="G12" s="70" t="s">
        <v>32</v>
      </c>
      <c r="H12" s="70" t="s">
        <v>33</v>
      </c>
      <c r="I12" s="70" t="s">
        <v>34</v>
      </c>
      <c r="J12" s="111" t="s">
        <v>34</v>
      </c>
      <c r="K12" s="71" t="s">
        <v>57</v>
      </c>
      <c r="L12" s="70" t="s">
        <v>58</v>
      </c>
      <c r="M12" s="70" t="s">
        <v>59</v>
      </c>
      <c r="N12" s="71" t="s">
        <v>60</v>
      </c>
    </row>
    <row r="13" spans="1:15" x14ac:dyDescent="0.25">
      <c r="A13" s="26" t="s">
        <v>70</v>
      </c>
      <c r="B13" s="26" t="s">
        <v>40</v>
      </c>
      <c r="C13" s="72" t="s">
        <v>71</v>
      </c>
      <c r="D13" s="73">
        <v>0.93500000000000005</v>
      </c>
      <c r="E13" s="73">
        <v>0.9506</v>
      </c>
      <c r="F13" s="74">
        <f>($C$3*$C$7/$C$8-$H$5)*D13</f>
        <v>76.918105531074644</v>
      </c>
      <c r="G13" s="74">
        <f>$C$4*$C$7/$C$8*E13</f>
        <v>8.5540659147528775</v>
      </c>
      <c r="H13" s="74">
        <f>F13*$C$6/1000</f>
        <v>53.410394118667611</v>
      </c>
      <c r="I13" s="102">
        <f>G13*$C$6</f>
        <v>5939.772289886103</v>
      </c>
      <c r="J13" s="112">
        <f>I13*$H$7</f>
        <v>5424.7666076670121</v>
      </c>
      <c r="K13" s="75">
        <f>H13*$H$6</f>
        <v>46.759509879868695</v>
      </c>
      <c r="L13" s="76">
        <v>5.980771545446177</v>
      </c>
      <c r="M13" s="76">
        <v>19.080435595907318</v>
      </c>
      <c r="N13" s="75">
        <v>18.580705147472244</v>
      </c>
    </row>
    <row r="14" spans="1:15" x14ac:dyDescent="0.25">
      <c r="A14" s="26" t="s">
        <v>70</v>
      </c>
      <c r="B14" s="26" t="s">
        <v>72</v>
      </c>
      <c r="C14" s="72" t="s">
        <v>73</v>
      </c>
      <c r="D14" s="73">
        <v>0.9214</v>
      </c>
      <c r="E14" s="73">
        <v>0.92090000000000005</v>
      </c>
      <c r="F14" s="74">
        <f t="shared" ref="F14:F15" si="0">($C$3*$C$7/$C$8-$H$5)*D14</f>
        <v>75.799296723349912</v>
      </c>
      <c r="G14" s="74">
        <f t="shared" ref="G14:G15" si="1">$C$4*$C$7/$C$8*E14</f>
        <v>8.286807596145513</v>
      </c>
      <c r="H14" s="74">
        <f>F14*$C$6/1000</f>
        <v>52.633515658759706</v>
      </c>
      <c r="I14" s="102">
        <f t="shared" ref="I14:I15" si="2">G14*$C$6</f>
        <v>5754.1934586115212</v>
      </c>
      <c r="J14" s="112">
        <f>I14*$H$7</f>
        <v>5255.2783179050612</v>
      </c>
      <c r="K14" s="75">
        <f t="shared" ref="K14:K15" si="3">H14*$H$6</f>
        <v>46.079371554343325</v>
      </c>
      <c r="L14" s="76">
        <v>5.980771545446177</v>
      </c>
      <c r="M14" s="76">
        <v>19.080435595907318</v>
      </c>
      <c r="N14" s="75">
        <v>18.580705147472244</v>
      </c>
    </row>
    <row r="15" spans="1:15" x14ac:dyDescent="0.25">
      <c r="A15" s="26" t="s">
        <v>70</v>
      </c>
      <c r="B15" s="26" t="s">
        <v>74</v>
      </c>
      <c r="C15" s="72" t="s">
        <v>75</v>
      </c>
      <c r="D15" s="73">
        <v>0.91590000000000005</v>
      </c>
      <c r="E15" s="73">
        <v>0.92030000000000001</v>
      </c>
      <c r="F15" s="74">
        <f t="shared" si="0"/>
        <v>75.346837279049481</v>
      </c>
      <c r="G15" s="74">
        <f t="shared" si="1"/>
        <v>8.2814084381938482</v>
      </c>
      <c r="H15" s="74">
        <f>F15*$C$6/1000</f>
        <v>52.31933686982638</v>
      </c>
      <c r="I15" s="102">
        <f t="shared" si="2"/>
        <v>5750.4443913130444</v>
      </c>
      <c r="J15" s="112">
        <f>I15*$H$7</f>
        <v>5251.8543120512841</v>
      </c>
      <c r="K15" s="75">
        <f t="shared" si="3"/>
        <v>45.80431561387352</v>
      </c>
      <c r="L15" s="76">
        <v>5.980771545446177</v>
      </c>
      <c r="M15" s="76">
        <v>19.080435595907318</v>
      </c>
      <c r="N15" s="75">
        <v>18.580705147472244</v>
      </c>
    </row>
    <row r="16" spans="1:15" x14ac:dyDescent="0.25">
      <c r="F16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2020-04-14T14:08:25Z</dcterms:modified>
</cp:coreProperties>
</file>