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4-abr\"/>
    </mc:Choice>
  </mc:AlternateContent>
  <xr:revisionPtr revIDLastSave="0" documentId="13_ncr:1_{3BDA526C-6A27-4F5A-A77F-EAE63575DF97}" xr6:coauthVersionLast="45" xr6:coauthVersionMax="45" xr10:uidLastSave="{00000000-0000-0000-0000-000000000000}"/>
  <bookViews>
    <workbookView xWindow="22932" yWindow="-108" windowWidth="23256" windowHeight="12576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3" i="2" l="1"/>
  <c r="J5" i="2" l="1"/>
  <c r="E9" i="1" l="1"/>
  <c r="F14" i="2"/>
  <c r="H14" i="2" s="1"/>
  <c r="K14" i="2" s="1"/>
  <c r="E12" i="1" s="1"/>
  <c r="F15" i="2"/>
  <c r="H15" i="2" s="1"/>
  <c r="K15" i="2" s="1"/>
  <c r="E10" i="1" s="1"/>
  <c r="F13" i="2"/>
  <c r="K13" i="2" s="1"/>
  <c r="E8" i="1" s="1"/>
  <c r="E7" i="1" l="1"/>
  <c r="E13" i="1"/>
  <c r="E5" i="1"/>
  <c r="E11" i="1"/>
  <c r="E6" i="1"/>
  <c r="G14" i="2" l="1"/>
  <c r="I14" i="2" s="1"/>
  <c r="J14" i="2" s="1"/>
  <c r="G15" i="2"/>
  <c r="I15" i="2" s="1"/>
  <c r="J15" i="2" s="1"/>
  <c r="G13" i="2"/>
  <c r="I13" i="2" s="1"/>
  <c r="J13" i="2" s="1"/>
  <c r="D11" i="1" l="1"/>
  <c r="D5" i="1"/>
  <c r="D8" i="1"/>
  <c r="D13" i="1"/>
  <c r="D10" i="1"/>
  <c r="D7" i="1"/>
  <c r="D9" i="1"/>
  <c r="D12" i="1"/>
  <c r="D6" i="1"/>
  <c r="F11" i="1" l="1"/>
  <c r="F12" i="1"/>
  <c r="F13" i="1"/>
  <c r="F8" i="1"/>
  <c r="F9" i="1"/>
  <c r="F10" i="1"/>
  <c r="F5" i="1"/>
  <c r="F6" i="1"/>
  <c r="F7" i="1"/>
  <c r="J6" i="1" l="1"/>
  <c r="J7" i="1"/>
  <c r="J5" i="1"/>
  <c r="J10" i="1" l="1"/>
  <c r="J9" i="1"/>
  <c r="J8" i="1"/>
  <c r="G13" i="1"/>
  <c r="J13" i="1" s="1"/>
  <c r="G12" i="1"/>
  <c r="J12" i="1" s="1"/>
  <c r="G11" i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l="1"/>
  <c r="O5" i="1"/>
  <c r="O6" i="1"/>
  <c r="L8" i="1"/>
  <c r="L12" i="1"/>
  <c r="L5" i="1"/>
  <c r="L9" i="1"/>
  <c r="L13" i="1"/>
  <c r="L6" i="1"/>
  <c r="L10" i="1"/>
  <c r="L7" i="1"/>
  <c r="L11" i="1"/>
  <c r="G14" i="1"/>
  <c r="J11" i="1"/>
  <c r="H14" i="1"/>
  <c r="K14" i="1"/>
  <c r="O7" i="1" s="1"/>
  <c r="I14" i="1" l="1"/>
  <c r="L14" i="1"/>
  <c r="O8" i="1" s="1"/>
  <c r="O9" i="1" s="1"/>
  <c r="J14" i="1" l="1"/>
</calcChain>
</file>

<file path=xl/sharedStrings.xml><?xml version="1.0" encoding="utf-8"?>
<sst xmlns="http://schemas.openxmlformats.org/spreadsheetml/2006/main" count="140" uniqueCount="81">
  <si>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</si>
  <si>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</si>
  <si>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</si>
  <si>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</si>
  <si>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</si>
  <si>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</si>
  <si>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</si>
  <si>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</si>
  <si>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</si>
  <si>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</si>
  <si>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</si>
  <si>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</si>
  <si>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</si>
  <si>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</si>
  <si>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</si>
  <si>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</si>
  <si>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</si>
  <si>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</si>
  <si>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</si>
  <si>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</si>
  <si>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</si>
  <si>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</si>
  <si>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</si>
  <si>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</si>
  <si>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</si>
  <si>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</si>
  <si>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</si>
  <si>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</si>
  <si>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</si>
  <si>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</si>
  <si>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</si>
  <si>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</si>
  <si>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</si>
  <si>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</si>
  <si>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</si>
  <si>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</si>
  <si>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</si>
  <si>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</si>
  <si>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</si>
  <si>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</si>
  <si>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</si>
  <si>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</si>
  <si>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</si>
  <si>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</si>
  <si>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</si>
  <si>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</si>
  <si>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</si>
  <si>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</si>
  <si>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</si>
  <si>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</si>
  <si>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</si>
  <si>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</si>
  <si>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</si>
  <si>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</si>
  <si>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</si>
  <si>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</si>
  <si>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</si>
  <si>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</si>
  <si>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</si>
  <si>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</si>
  <si>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</si>
  <si>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AAT A [$/kWh]</t>
  </si>
  <si>
    <t>AAT B [$/kWh]</t>
  </si>
  <si>
    <t>AAT C [$/kWh]</t>
  </si>
  <si>
    <t>Copelec</t>
  </si>
  <si>
    <t>Copelec_Charrua 220</t>
  </si>
  <si>
    <t>Copelec_Itahue 220</t>
  </si>
  <si>
    <t>Copelec_Alto Jahuel 220</t>
  </si>
  <si>
    <t>9T/2019</t>
  </si>
  <si>
    <t xml:space="preserve">[MW] </t>
  </si>
  <si>
    <t>Facturación con Factor</t>
  </si>
  <si>
    <t>PNP 9T-19 (oct-19 a mar-20)</t>
  </si>
  <si>
    <t>Fmodulacion P</t>
  </si>
  <si>
    <t xml:space="preserve">Factor Ajuste Energía </t>
  </si>
  <si>
    <t>Factor Ajuste Potencia</t>
  </si>
  <si>
    <t>Capacity: 3.360 kW</t>
  </si>
  <si>
    <t xml:space="preserve">Nota: </t>
  </si>
  <si>
    <t>El Precio de la energía incluye el descuento por CET</t>
  </si>
  <si>
    <t>CET [USD/MWh]</t>
  </si>
  <si>
    <t>Marzo</t>
  </si>
  <si>
    <t>Active Energy: 2,452,470.7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</si>
</sst>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0.000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4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right" vertical="center" indent="1"/>
    </xf>
    <xf numFmtId="3" fontId="0" fillId="0" borderId="4" xfId="0" applyNumberFormat="1" applyBorder="1" applyAlignment="1">
      <alignment horizontal="right" vertical="center" indent="1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right" vertical="center" indent="1"/>
    </xf>
    <xf numFmtId="0" fontId="0" fillId="0" borderId="2" xfId="0" applyBorder="1"/>
    <xf numFmtId="2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3" fontId="2" fillId="3" borderId="2" xfId="0" applyNumberFormat="1" applyFont="1" applyFill="1" applyBorder="1" applyAlignment="1">
      <alignment horizontal="right" vertical="center" indent="1"/>
    </xf>
    <xf numFmtId="2" fontId="0" fillId="0" borderId="3" xfId="0" applyNumberFormat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5" fillId="0" borderId="0" xfId="0" applyNumberFormat="1" applyFont="1"/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8" xfId="0" applyFont="1" applyFill="1" applyBorder="1" applyAlignment="1">
      <alignment horizontal="center" vertical="center"/>
    </xf>
    <xf numFmtId="0" fontId="10" fillId="9" borderId="19" xfId="0" applyFont="1" applyFill="1" applyBorder="1" applyAlignment="1">
      <alignment horizontal="center" vertical="center"/>
    </xf>
    <xf numFmtId="0" fontId="10" fillId="9" borderId="20" xfId="3" applyFont="1" applyFill="1" applyBorder="1" applyAlignment="1">
      <alignment horizontal="center" vertical="center"/>
    </xf>
    <xf numFmtId="0" fontId="10" fillId="9" borderId="21" xfId="3" applyFont="1" applyFill="1" applyBorder="1" applyAlignment="1">
      <alignment horizontal="center" vertical="center"/>
    </xf>
    <xf numFmtId="0" fontId="10" fillId="9" borderId="22" xfId="3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/>
    </xf>
    <xf numFmtId="0" fontId="10" fillId="0" borderId="24" xfId="0" applyFont="1" applyBorder="1"/>
    <xf numFmtId="0" fontId="0" fillId="9" borderId="25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7" xfId="2" applyNumberFormat="1" applyFont="1" applyBorder="1" applyAlignment="1">
      <alignment horizontal="center"/>
    </xf>
    <xf numFmtId="170" fontId="0" fillId="0" borderId="17" xfId="3" applyNumberFormat="1" applyFont="1" applyBorder="1"/>
    <xf numFmtId="164" fontId="0" fillId="0" borderId="0" xfId="1" applyFont="1"/>
    <xf numFmtId="168" fontId="12" fillId="0" borderId="0" xfId="0" applyNumberFormat="1" applyFont="1"/>
    <xf numFmtId="0" fontId="2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166" fontId="0" fillId="0" borderId="30" xfId="0" applyNumberFormat="1" applyBorder="1" applyAlignment="1">
      <alignment horizontal="center" vertical="center"/>
    </xf>
    <xf numFmtId="166" fontId="0" fillId="0" borderId="24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1" fontId="4" fillId="0" borderId="1" xfId="0" applyNumberFormat="1" applyFont="1" applyBorder="1" applyAlignment="1">
      <alignment horizontal="center"/>
    </xf>
    <xf numFmtId="171" fontId="4" fillId="0" borderId="0" xfId="0" applyNumberFormat="1" applyFont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1"/>
    </xf>
    <xf numFmtId="3" fontId="0" fillId="0" borderId="5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1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2" fillId="3" borderId="11" xfId="0" applyNumberFormat="1" applyFont="1" applyFill="1" applyBorder="1" applyAlignment="1">
      <alignment horizontal="right" vertical="center" indent="1"/>
    </xf>
    <xf numFmtId="3" fontId="2" fillId="3" borderId="3" xfId="0" applyNumberFormat="1" applyFont="1" applyFill="1" applyBorder="1" applyAlignment="1">
      <alignment horizontal="right" vertical="center" indent="1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8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3" fontId="0" fillId="0" borderId="17" xfId="3" applyNumberFormat="1" applyFont="1" applyBorder="1" applyAlignment="1">
      <alignment horizontal="center"/>
    </xf>
    <xf numFmtId="3" fontId="0" fillId="0" borderId="27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67" fontId="2" fillId="3" borderId="3" xfId="0" applyNumberFormat="1" applyFont="1" applyFill="1" applyBorder="1" applyAlignment="1">
      <alignment horizontal="right" vertical="center" indent="1"/>
    </xf>
    <xf numFmtId="172" fontId="2" fillId="3" borderId="2" xfId="0" applyNumberFormat="1" applyFont="1" applyFill="1" applyBorder="1" applyAlignment="1">
      <alignment horizontal="right" vertical="center" inden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166" fontId="0" fillId="0" borderId="1" xfId="0" applyNumberFormat="1" applyBorder="1"/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2" fontId="4" fillId="0" borderId="0" xfId="0" applyNumberFormat="1" applyFont="1"/>
    <xf numFmtId="165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171" fontId="4" fillId="0" borderId="10" xfId="0" applyNumberFormat="1" applyFont="1" applyBorder="1" applyAlignment="1">
      <alignment horizontal="center"/>
    </xf>
    <xf numFmtId="0" fontId="6" fillId="6" borderId="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right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166" fontId="0" fillId="0" borderId="5" xfId="0" applyNumberFormat="1" applyBorder="1"/>
    <xf numFmtId="166" fontId="0" fillId="0" borderId="3" xfId="0" applyNumberFormat="1" applyBorder="1"/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3" applyFont="1" applyBorder="1" applyAlignment="1">
      <alignment horizontal="center"/>
    </xf>
    <xf numFmtId="0" fontId="10" fillId="0" borderId="1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/>
    </xf>
  </cellXfs>
  <cellStyles count="4">
    <cellStyle name="Millares" xfId="1" builtinId="3"/>
    <cellStyle name="Normal" xfId="0" builtinId="0"/>
    <cellStyle name="Porcentaje" xfId="2" builtinId="5"/>
    <cellStyle name="Texto explicativo" xfId="3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9"/>
  <sheetViews>
    <sheetView tabSelected="1" topLeftCell="B1" zoomScale="90" zoomScaleNormal="90" workbookViewId="0">
      <selection activeCell="E5" sqref="E5"/>
    </sheetView>
  </sheetViews>
  <sheetFormatPr baseColWidth="10" defaultRowHeight="13.5" x14ac:dyDescent="0.25"/>
  <cols>
    <col min="2" max="2" width="7.28515625" bestFit="1" customWidth="1"/>
    <col min="3" max="3" width="25.42578125" bestFit="1" customWidth="1"/>
    <col min="4" max="4" width="17.7109375" bestFit="1" customWidth="1"/>
    <col min="5" max="5" width="16.42578125" bestFit="1" customWidth="1"/>
    <col min="6" max="6" width="10.42578125" customWidth="1"/>
    <col min="7" max="7" width="16.42578125" bestFit="1" customWidth="1"/>
    <col min="8" max="8" width="16.140625" customWidth="1"/>
    <col min="9" max="12" width="16.42578125" customWidth="1"/>
    <col min="14" max="14" width="29.5703125" customWidth="1"/>
    <col min="15" max="15" width="19.28515625" customWidth="1"/>
  </cols>
  <sheetData>
    <row r="2" spans="1:15" s="23" customFormat="1" x14ac:dyDescent="0.25">
      <c r="A2" s="96"/>
      <c r="B2" s="96"/>
      <c r="C2" s="112"/>
      <c r="D2" s="113"/>
      <c r="E2" s="96"/>
      <c r="F2" s="89"/>
      <c r="G2" s="89"/>
      <c r="H2" s="90"/>
      <c r="I2" s="125" t="s">
        <v>17</v>
      </c>
      <c r="J2" s="126"/>
      <c r="K2" s="126"/>
      <c r="L2" s="127"/>
    </row>
    <row r="3" spans="1:15" x14ac:dyDescent="0.25">
      <c r="A3" s="128" t="s">
        <v>15</v>
      </c>
      <c r="B3" s="131" t="s">
        <v>0</v>
      </c>
      <c r="C3" s="133" t="s">
        <v>1</v>
      </c>
      <c r="D3" s="100" t="s">
        <v>2</v>
      </c>
      <c r="E3" s="98" t="s">
        <v>3</v>
      </c>
      <c r="F3" s="41" t="s">
        <v>50</v>
      </c>
      <c r="G3" s="1" t="s">
        <v>4</v>
      </c>
      <c r="H3" s="2" t="s">
        <v>5</v>
      </c>
      <c r="I3" s="79" t="s">
        <v>38</v>
      </c>
      <c r="J3" s="78" t="s">
        <v>4</v>
      </c>
      <c r="K3" s="78" t="s">
        <v>37</v>
      </c>
      <c r="L3" s="62" t="s">
        <v>50</v>
      </c>
      <c r="N3" s="130" t="s">
        <v>70</v>
      </c>
      <c r="O3" s="130"/>
    </row>
    <row r="4" spans="1:15" ht="15" x14ac:dyDescent="0.25">
      <c r="A4" s="129"/>
      <c r="B4" s="132"/>
      <c r="C4" s="134"/>
      <c r="D4" s="101" t="s">
        <v>6</v>
      </c>
      <c r="E4" s="99" t="s">
        <v>7</v>
      </c>
      <c r="F4" s="42" t="s">
        <v>57</v>
      </c>
      <c r="G4" s="3" t="s">
        <v>69</v>
      </c>
      <c r="H4" s="4" t="s">
        <v>8</v>
      </c>
      <c r="I4" s="106" t="s">
        <v>14</v>
      </c>
      <c r="J4" s="104" t="s">
        <v>14</v>
      </c>
      <c r="K4" s="104" t="s">
        <v>14</v>
      </c>
      <c r="L4" s="105" t="s">
        <v>14</v>
      </c>
      <c r="N4" s="13"/>
      <c r="O4" s="15" t="s">
        <v>44</v>
      </c>
    </row>
    <row r="5" spans="1:15" x14ac:dyDescent="0.25">
      <c r="A5" t="s">
        <v>44</v>
      </c>
      <c r="B5" s="5" t="s">
        <v>9</v>
      </c>
      <c r="C5" s="6" t="s">
        <v>42</v>
      </c>
      <c r="D5" s="25">
        <f>VLOOKUP($C5,Px!$B$13:$N$15,9,0)</f>
        <v>5424.7666076670121</v>
      </c>
      <c r="E5" s="120">
        <f>VLOOKUP($C5,Px!$B$13:$N$15,10,0)</f>
        <v>46.633343123376449</v>
      </c>
      <c r="F5" s="63">
        <f>Px!L13</f>
        <v>2.5992705791524648</v>
      </c>
      <c r="G5" s="7"/>
      <c r="H5" s="8">
        <f>COPELEC!I6/1000</f>
        <v>698.78666705855665</v>
      </c>
      <c r="I5" s="80">
        <f t="shared" ref="I5:I13" si="0">H5*E5*1000</f>
        <v>32586758.414982289</v>
      </c>
      <c r="J5" s="9">
        <f t="shared" ref="J5:J13" si="1">G5*D5*1000</f>
        <v>0</v>
      </c>
      <c r="K5" s="9">
        <v>253157.20221147151</v>
      </c>
      <c r="L5" s="81">
        <f t="shared" ref="L5:L13" si="2">H5*F5*1000</f>
        <v>1816335.6247893153</v>
      </c>
      <c r="N5" s="16" t="s">
        <v>80</v>
      </c>
      <c r="O5" s="17">
        <f>SUMPRODUCT(E5:E13,H5:H13)*1000</f>
        <v>114531782.06796937</v>
      </c>
    </row>
    <row r="6" spans="1:15" x14ac:dyDescent="0.25">
      <c r="A6" t="s">
        <v>44</v>
      </c>
      <c r="B6" t="s">
        <v>9</v>
      </c>
      <c r="C6" s="10" t="s">
        <v>43</v>
      </c>
      <c r="D6" s="24">
        <f>VLOOKUP($C6,Px!$B$13:$N$15,9,0)</f>
        <v>5609.0922561286625</v>
      </c>
      <c r="E6" s="121">
        <f>VLOOKUP($C6,Px!$B$13:$N$15,10,0)</f>
        <v>47.566009985843984</v>
      </c>
      <c r="F6" s="64">
        <f>Px!L14</f>
        <v>2.5992705791524648</v>
      </c>
      <c r="G6" s="11"/>
      <c r="H6" s="12">
        <f>COPELEC!F6/1000</f>
        <v>13.225061554596916</v>
      </c>
      <c r="I6" s="82">
        <f t="shared" si="0"/>
        <v>629063.40996935836</v>
      </c>
      <c r="J6" s="83">
        <f t="shared" si="1"/>
        <v>0</v>
      </c>
      <c r="K6" s="83"/>
      <c r="L6" s="84">
        <f t="shared" si="2"/>
        <v>34375.513406344129</v>
      </c>
      <c r="N6" s="16" t="s">
        <v>75</v>
      </c>
      <c r="O6" s="17">
        <f>SUMPRODUCT(D5:D13,G5:G13)*1000</f>
        <v>18259164.059047468</v>
      </c>
    </row>
    <row r="7" spans="1:15" x14ac:dyDescent="0.25">
      <c r="A7" t="s">
        <v>44</v>
      </c>
      <c r="B7" t="s">
        <v>9</v>
      </c>
      <c r="C7" s="10" t="s">
        <v>16</v>
      </c>
      <c r="D7" s="24">
        <f>VLOOKUP($C7,Px!$B$13:$N$15,9,0)</f>
        <v>5716.3777728803343</v>
      </c>
      <c r="E7" s="121">
        <f>VLOOKUP($C7,Px!$B$13:$N$15,10,0)</f>
        <v>49.012391751167954</v>
      </c>
      <c r="F7" s="64">
        <f>Px!L15</f>
        <v>2.5992705791524648</v>
      </c>
      <c r="G7" s="11"/>
      <c r="H7" s="12">
        <f>COPELEC!C6/1000</f>
        <v>15.427455940454372</v>
      </c>
      <c r="I7" s="82">
        <f t="shared" si="0"/>
        <v>756136.51427743281</v>
      </c>
      <c r="J7" s="83">
        <f t="shared" si="1"/>
        <v>0</v>
      </c>
      <c r="K7" s="83"/>
      <c r="L7" s="84">
        <f t="shared" si="2"/>
        <v>40100.132337193972</v>
      </c>
      <c r="N7" s="16" t="s">
        <v>13</v>
      </c>
      <c r="O7" s="17">
        <f>K14</f>
        <v>853484.67148460669</v>
      </c>
    </row>
    <row r="8" spans="1:15" x14ac:dyDescent="0.25">
      <c r="A8" t="s">
        <v>44</v>
      </c>
      <c r="B8" t="s">
        <v>10</v>
      </c>
      <c r="C8" s="10" t="s">
        <v>42</v>
      </c>
      <c r="D8" s="24">
        <f>VLOOKUP($C8,Px!$B$13:$N$15,9,0)</f>
        <v>5424.7666076670121</v>
      </c>
      <c r="E8" s="121">
        <f>VLOOKUP($C8,Px!$B$13:$N$15,10,0)</f>
        <v>46.633343123376449</v>
      </c>
      <c r="F8" s="64">
        <f>Px!M13</f>
        <v>6.1114951746762607</v>
      </c>
      <c r="G8" s="11"/>
      <c r="H8" s="12">
        <f>COPELEC!J7/1000</f>
        <v>1075.4023631697276</v>
      </c>
      <c r="I8" s="82">
        <f t="shared" si="0"/>
        <v>50149607.397383802</v>
      </c>
      <c r="J8" s="83">
        <f t="shared" si="1"/>
        <v>0</v>
      </c>
      <c r="K8" s="83">
        <v>389563.73588549346</v>
      </c>
      <c r="L8" s="84">
        <f t="shared" si="2"/>
        <v>6572316.3533472382</v>
      </c>
      <c r="N8" s="16" t="s">
        <v>50</v>
      </c>
      <c r="O8" s="17">
        <f>L14</f>
        <v>12616935.407109117</v>
      </c>
    </row>
    <row r="9" spans="1:15" x14ac:dyDescent="0.25">
      <c r="A9" t="s">
        <v>44</v>
      </c>
      <c r="B9" t="s">
        <v>10</v>
      </c>
      <c r="C9" s="10" t="s">
        <v>43</v>
      </c>
      <c r="D9" s="24">
        <f>VLOOKUP($C9,Px!$B$13:$N$15,9,0)</f>
        <v>5609.0922561286625</v>
      </c>
      <c r="E9" s="121">
        <f>VLOOKUP($C9,Px!$B$13:$N$15,10,0)</f>
        <v>47.566009985843984</v>
      </c>
      <c r="F9" s="64">
        <f>Px!M14</f>
        <v>6.1114951746762607</v>
      </c>
      <c r="G9" s="11"/>
      <c r="H9" s="12">
        <f>COPELEC!G7/1000</f>
        <v>20.309381377546547</v>
      </c>
      <c r="I9" s="82">
        <f t="shared" si="0"/>
        <v>966036.23741069296</v>
      </c>
      <c r="J9" s="83">
        <f t="shared" si="1"/>
        <v>0</v>
      </c>
      <c r="K9" s="83"/>
      <c r="L9" s="84">
        <f t="shared" si="2"/>
        <v>124120.68628953563</v>
      </c>
      <c r="N9" s="18" t="s">
        <v>12</v>
      </c>
      <c r="O9" s="19">
        <f>SUM(O5:O8)</f>
        <v>146261366.20561057</v>
      </c>
    </row>
    <row r="10" spans="1:15" x14ac:dyDescent="0.25">
      <c r="A10" t="s">
        <v>44</v>
      </c>
      <c r="B10" t="s">
        <v>10</v>
      </c>
      <c r="C10" s="10" t="s">
        <v>16</v>
      </c>
      <c r="D10" s="24">
        <f>VLOOKUP($C10,Px!$B$13:$N$15,9,0)</f>
        <v>5716.3777728803343</v>
      </c>
      <c r="E10" s="121">
        <f>VLOOKUP($C10,Px!$B$13:$N$15,10,0)</f>
        <v>49.012391751167954</v>
      </c>
      <c r="F10" s="64">
        <f>Px!M15</f>
        <v>6.1114951746762607</v>
      </c>
      <c r="G10" s="11"/>
      <c r="H10" s="12">
        <f>COPELEC!D7/1000</f>
        <v>23.690634408453661</v>
      </c>
      <c r="I10" s="82">
        <f t="shared" si="0"/>
        <v>1161134.6544608299</v>
      </c>
      <c r="J10" s="83">
        <f t="shared" si="1"/>
        <v>0</v>
      </c>
      <c r="K10" s="83"/>
      <c r="L10" s="84">
        <f t="shared" si="2"/>
        <v>144785.19787228393</v>
      </c>
    </row>
    <row r="11" spans="1:15" x14ac:dyDescent="0.25">
      <c r="A11" t="s">
        <v>44</v>
      </c>
      <c r="B11" t="s">
        <v>11</v>
      </c>
      <c r="C11" s="10" t="s">
        <v>42</v>
      </c>
      <c r="D11" s="24">
        <f>VLOOKUP($C11,Px!$B$13:$N$15,9,0)</f>
        <v>5424.7666076670121</v>
      </c>
      <c r="E11" s="121">
        <f>VLOOKUP($C11,Px!$B$13:$N$15,10,0)</f>
        <v>46.633343123376449</v>
      </c>
      <c r="F11" s="64">
        <f>Px!N13</f>
        <v>6.4146553735900778</v>
      </c>
      <c r="G11" s="11">
        <f>COPELEC!R8/1000</f>
        <v>3.2280000000000002</v>
      </c>
      <c r="H11" s="12">
        <f>COPELEC!K8/1000</f>
        <v>581.9421448787989</v>
      </c>
      <c r="I11" s="82">
        <f t="shared" si="0"/>
        <v>27137907.720086679</v>
      </c>
      <c r="J11" s="83">
        <f t="shared" si="1"/>
        <v>17511146.609549116</v>
      </c>
      <c r="K11" s="83">
        <v>210763.73338764173</v>
      </c>
      <c r="L11" s="84">
        <f t="shared" si="2"/>
        <v>3732958.306765323</v>
      </c>
    </row>
    <row r="12" spans="1:15" x14ac:dyDescent="0.25">
      <c r="A12" t="s">
        <v>44</v>
      </c>
      <c r="B12" t="s">
        <v>11</v>
      </c>
      <c r="C12" s="10" t="s">
        <v>43</v>
      </c>
      <c r="D12" s="24">
        <f>VLOOKUP($C12,Px!$B$13:$N$15,9,0)</f>
        <v>5609.0922561286625</v>
      </c>
      <c r="E12" s="121">
        <f>VLOOKUP($C12,Px!$B$13:$N$15,10,0)</f>
        <v>47.566009985843984</v>
      </c>
      <c r="F12" s="64">
        <f>Px!N14</f>
        <v>6.4146553735900778</v>
      </c>
      <c r="G12" s="11">
        <f>COPELEC!Q8/1000</f>
        <v>6.0999999999999999E-2</v>
      </c>
      <c r="H12" s="12">
        <f>COPELEC!H8/1000</f>
        <v>10.934964559542127</v>
      </c>
      <c r="I12" s="82">
        <f t="shared" si="0"/>
        <v>520132.63343403093</v>
      </c>
      <c r="J12" s="83">
        <f t="shared" si="1"/>
        <v>342154.62762384838</v>
      </c>
      <c r="K12" s="83"/>
      <c r="L12" s="84">
        <f t="shared" si="2"/>
        <v>70144.029171883958</v>
      </c>
    </row>
    <row r="13" spans="1:15" x14ac:dyDescent="0.25">
      <c r="A13" t="s">
        <v>44</v>
      </c>
      <c r="B13" t="s">
        <v>11</v>
      </c>
      <c r="C13" s="10" t="s">
        <v>16</v>
      </c>
      <c r="D13" s="24">
        <f>VLOOKUP($C13,Px!$B$13:$N$15,9,0)</f>
        <v>5716.3777728803343</v>
      </c>
      <c r="E13" s="122">
        <f>VLOOKUP($C13,Px!$B$13:$N$15,10,0)</f>
        <v>49.012391751167954</v>
      </c>
      <c r="F13" s="65">
        <f>Px!N15</f>
        <v>6.4146553735900778</v>
      </c>
      <c r="G13" s="14">
        <f>COPELEC!P8/1000</f>
        <v>7.0999999999999994E-2</v>
      </c>
      <c r="H13" s="21">
        <f>COPELEC!E8/1000</f>
        <v>12.751980950804695</v>
      </c>
      <c r="I13" s="85">
        <f t="shared" si="0"/>
        <v>625005.08596427098</v>
      </c>
      <c r="J13" s="22">
        <f t="shared" si="1"/>
        <v>405862.82187450369</v>
      </c>
      <c r="K13" s="22"/>
      <c r="L13" s="86">
        <f t="shared" si="2"/>
        <v>81799.563129997652</v>
      </c>
    </row>
    <row r="14" spans="1:15" ht="15" x14ac:dyDescent="0.25">
      <c r="A14" s="26"/>
      <c r="B14" s="26"/>
      <c r="C14" s="26"/>
      <c r="D14" s="26"/>
      <c r="E14" s="61"/>
      <c r="F14" s="119" t="s">
        <v>12</v>
      </c>
      <c r="G14" s="103">
        <f t="shared" ref="G14:H14" si="3">SUM(G5:G13)</f>
        <v>3.3600000000000003</v>
      </c>
      <c r="H14" s="102">
        <f t="shared" si="3"/>
        <v>2452.4706538984815</v>
      </c>
      <c r="I14" s="87">
        <f>SUM(I5:I13)</f>
        <v>114531782.0679694</v>
      </c>
      <c r="J14" s="20">
        <f>SUM(J5:J13)</f>
        <v>18259164.059047468</v>
      </c>
      <c r="K14" s="20">
        <f t="shared" ref="K14" si="4">SUM(K5:K13)</f>
        <v>853484.67148460669</v>
      </c>
      <c r="L14" s="88">
        <f t="shared" ref="L14" si="5">SUM(L5:L13)</f>
        <v>12616935.407109117</v>
      </c>
    </row>
    <row r="16" spans="1:15" x14ac:dyDescent="0.25">
      <c r="E16" s="16" t="s">
        <v>76</v>
      </c>
      <c r="F16" t="s">
        <v>77</v>
      </c>
    </row>
    <row r="20" spans="9:15" ht="15" x14ac:dyDescent="0.25">
      <c r="I20" s="97"/>
    </row>
    <row r="26" spans="9:15" x14ac:dyDescent="0.25">
      <c r="N26" s="23"/>
      <c r="O26" s="23"/>
    </row>
    <row r="27" spans="9:15" s="23" customFormat="1" ht="20.25" customHeight="1" x14ac:dyDescent="0.25">
      <c r="N27"/>
      <c r="O27"/>
    </row>
    <row r="29" spans="9:15" x14ac:dyDescent="0.25">
      <c r="I29" s="17"/>
      <c r="J29" s="17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V8"/>
  <sheetViews>
    <sheetView workbookViewId="0">
      <selection activeCell="B4" sqref="B4"/>
    </sheetView>
  </sheetViews>
  <sheetFormatPr baseColWidth="10" defaultRowHeight="13.5" x14ac:dyDescent="0.25"/>
  <cols>
    <col min="1" max="1" width="21" bestFit="1" customWidth="1"/>
    <col min="13" max="13" width="13.85546875" bestFit="1" customWidth="1"/>
    <col min="19" max="21" width="3.7109375" customWidth="1"/>
  </cols>
  <sheetData>
    <row r="2" spans="1:22" ht="14.25" thickBot="1" x14ac:dyDescent="0.3"/>
    <row r="3" spans="1:22" ht="15.75" thickBot="1" x14ac:dyDescent="0.3">
      <c r="A3" s="43" t="s">
        <v>45</v>
      </c>
      <c r="B3" s="43" t="s">
        <v>79</v>
      </c>
      <c r="C3" s="135" t="s">
        <v>46</v>
      </c>
      <c r="D3" s="136"/>
      <c r="E3" s="136"/>
      <c r="F3" s="136"/>
      <c r="G3" s="136"/>
      <c r="H3" s="136"/>
      <c r="I3" s="136"/>
      <c r="J3" s="136"/>
      <c r="K3" s="136"/>
      <c r="L3" s="137"/>
      <c r="M3" s="135" t="s">
        <v>24</v>
      </c>
      <c r="N3" s="136"/>
      <c r="O3" s="136"/>
      <c r="P3" s="136"/>
      <c r="Q3" s="136"/>
      <c r="R3" s="137"/>
      <c r="U3" s="44"/>
      <c r="V3" s="45"/>
    </row>
    <row r="4" spans="1:22" ht="15.75" thickBot="1" x14ac:dyDescent="0.3">
      <c r="C4" s="138" t="s">
        <v>16</v>
      </c>
      <c r="D4" s="138"/>
      <c r="E4" s="138"/>
      <c r="F4" s="138" t="s">
        <v>43</v>
      </c>
      <c r="G4" s="138"/>
      <c r="H4" s="138"/>
      <c r="I4" s="138" t="s">
        <v>42</v>
      </c>
      <c r="J4" s="138"/>
      <c r="K4" s="138"/>
      <c r="L4" s="139" t="s">
        <v>47</v>
      </c>
      <c r="M4" s="135" t="s">
        <v>48</v>
      </c>
      <c r="N4" s="136"/>
      <c r="O4" s="136"/>
      <c r="P4" s="136" t="s">
        <v>49</v>
      </c>
      <c r="Q4" s="136"/>
      <c r="R4" s="141"/>
      <c r="V4" s="46"/>
    </row>
    <row r="5" spans="1:22" ht="15.75" thickBot="1" x14ac:dyDescent="0.3">
      <c r="A5" s="47" t="s">
        <v>51</v>
      </c>
      <c r="B5" s="48" t="s">
        <v>52</v>
      </c>
      <c r="C5" s="49" t="s">
        <v>39</v>
      </c>
      <c r="D5" s="50" t="s">
        <v>40</v>
      </c>
      <c r="E5" s="51" t="s">
        <v>41</v>
      </c>
      <c r="F5" s="49" t="s">
        <v>39</v>
      </c>
      <c r="G5" s="50" t="s">
        <v>40</v>
      </c>
      <c r="H5" s="51" t="s">
        <v>41</v>
      </c>
      <c r="I5" s="49" t="s">
        <v>39</v>
      </c>
      <c r="J5" s="50" t="s">
        <v>40</v>
      </c>
      <c r="K5" s="51" t="s">
        <v>41</v>
      </c>
      <c r="L5" s="140"/>
      <c r="M5" s="52" t="s">
        <v>16</v>
      </c>
      <c r="N5" s="52" t="s">
        <v>43</v>
      </c>
      <c r="O5" s="52" t="s">
        <v>42</v>
      </c>
      <c r="P5" s="52" t="s">
        <v>16</v>
      </c>
      <c r="Q5" s="53" t="s">
        <v>43</v>
      </c>
      <c r="R5" s="53" t="s">
        <v>42</v>
      </c>
      <c r="V5" s="46"/>
    </row>
    <row r="6" spans="1:22" ht="15" x14ac:dyDescent="0.25">
      <c r="A6" s="54" t="s">
        <v>53</v>
      </c>
      <c r="B6" s="55" t="s">
        <v>54</v>
      </c>
      <c r="C6" s="93">
        <v>15427.455940454372</v>
      </c>
      <c r="D6" s="94">
        <v>0</v>
      </c>
      <c r="E6" s="94">
        <v>0</v>
      </c>
      <c r="F6" s="94">
        <v>13225.061554596916</v>
      </c>
      <c r="G6" s="94">
        <v>0</v>
      </c>
      <c r="H6" s="94">
        <v>0</v>
      </c>
      <c r="I6" s="94">
        <v>698786.66705855669</v>
      </c>
      <c r="J6" s="94">
        <v>0</v>
      </c>
      <c r="K6" s="95">
        <v>0</v>
      </c>
      <c r="L6" s="92">
        <v>727439.18455360795</v>
      </c>
      <c r="M6" s="56">
        <v>0</v>
      </c>
      <c r="N6" s="57">
        <v>0</v>
      </c>
      <c r="O6" s="57">
        <v>0</v>
      </c>
      <c r="P6" s="58">
        <v>0</v>
      </c>
      <c r="Q6" s="58">
        <v>0</v>
      </c>
      <c r="R6" s="58">
        <v>0</v>
      </c>
      <c r="S6" s="59"/>
      <c r="V6" s="60"/>
    </row>
    <row r="7" spans="1:22" ht="15" x14ac:dyDescent="0.25">
      <c r="A7" s="54" t="s">
        <v>53</v>
      </c>
      <c r="B7" s="55" t="s">
        <v>55</v>
      </c>
      <c r="C7" s="93">
        <v>0</v>
      </c>
      <c r="D7" s="94">
        <v>23690.634408453661</v>
      </c>
      <c r="E7" s="94">
        <v>0</v>
      </c>
      <c r="F7" s="94">
        <v>0</v>
      </c>
      <c r="G7" s="94">
        <v>20309.381377546546</v>
      </c>
      <c r="H7" s="94">
        <v>0</v>
      </c>
      <c r="I7" s="94">
        <v>0</v>
      </c>
      <c r="J7" s="94">
        <v>1075402.3631697276</v>
      </c>
      <c r="K7" s="95">
        <v>0</v>
      </c>
      <c r="L7" s="92">
        <v>1119402.3789557279</v>
      </c>
      <c r="M7" s="56">
        <v>0</v>
      </c>
      <c r="N7" s="57">
        <v>0</v>
      </c>
      <c r="O7" s="57">
        <v>0</v>
      </c>
      <c r="P7" s="58">
        <v>0</v>
      </c>
      <c r="Q7" s="58">
        <v>0</v>
      </c>
      <c r="R7" s="58">
        <v>0</v>
      </c>
      <c r="S7" s="59"/>
      <c r="V7" s="60"/>
    </row>
    <row r="8" spans="1:22" ht="15" x14ac:dyDescent="0.25">
      <c r="A8" s="54" t="s">
        <v>53</v>
      </c>
      <c r="B8" s="55" t="s">
        <v>56</v>
      </c>
      <c r="C8" s="93">
        <v>0</v>
      </c>
      <c r="D8" s="94">
        <v>0</v>
      </c>
      <c r="E8" s="94">
        <v>12751.980950804695</v>
      </c>
      <c r="F8" s="94">
        <v>0</v>
      </c>
      <c r="G8" s="94">
        <v>0</v>
      </c>
      <c r="H8" s="94">
        <v>10934.964559542128</v>
      </c>
      <c r="I8" s="94">
        <v>0</v>
      </c>
      <c r="J8" s="94">
        <v>0</v>
      </c>
      <c r="K8" s="95">
        <v>581942.14487879886</v>
      </c>
      <c r="L8" s="92">
        <v>605629.09038914565</v>
      </c>
      <c r="M8" s="56">
        <v>2.3720965334792852E-3</v>
      </c>
      <c r="N8" s="57">
        <v>2.0340989863047035E-3</v>
      </c>
      <c r="O8" s="57">
        <v>0.10825164732271571</v>
      </c>
      <c r="P8" s="58">
        <v>71</v>
      </c>
      <c r="Q8" s="58">
        <v>61</v>
      </c>
      <c r="R8" s="58">
        <v>3228</v>
      </c>
      <c r="S8" s="59"/>
      <c r="V8" s="60"/>
    </row>
  </sheetData>
  <mergeCells count="8">
    <mergeCell ref="C3:L3"/>
    <mergeCell ref="M3:R3"/>
    <mergeCell ref="C4:E4"/>
    <mergeCell ref="F4:H4"/>
    <mergeCell ref="I4:K4"/>
    <mergeCell ref="L4:L5"/>
    <mergeCell ref="M4:O4"/>
    <mergeCell ref="P4:R4"/>
  </mergeCells>
  <conditionalFormatting sqref="A3:R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19"/>
  <sheetViews>
    <sheetView zoomScaleNormal="100" workbookViewId="0">
      <selection activeCell="K14" sqref="K14"/>
    </sheetView>
  </sheetViews>
  <sheetFormatPr baseColWidth="10" defaultRowHeight="13.5" x14ac:dyDescent="0.25"/>
  <cols>
    <col min="1" max="1" width="17.7109375" bestFit="1" customWidth="1"/>
    <col min="2" max="2" width="11.140625" bestFit="1" customWidth="1"/>
    <col min="3" max="3" width="12" bestFit="1" customWidth="1"/>
    <col min="4" max="4" width="24.28515625" bestFit="1" customWidth="1"/>
    <col min="7" max="7" width="18.7109375" bestFit="1" customWidth="1"/>
    <col min="10" max="10" width="12" bestFit="1" customWidth="1"/>
    <col min="14" max="14" width="14.85546875" bestFit="1" customWidth="1"/>
  </cols>
  <sheetData>
    <row r="2" spans="1:15" x14ac:dyDescent="0.25">
      <c r="A2" s="27" t="s">
        <v>18</v>
      </c>
      <c r="B2" s="28"/>
      <c r="C2" s="28" t="s">
        <v>19</v>
      </c>
      <c r="D2" s="29" t="s">
        <v>20</v>
      </c>
      <c r="E2" s="30"/>
      <c r="F2" s="30"/>
      <c r="G2" s="30"/>
    </row>
    <row r="3" spans="1:15" x14ac:dyDescent="0.25">
      <c r="A3" s="31" t="s">
        <v>21</v>
      </c>
      <c r="B3" s="30" t="s">
        <v>22</v>
      </c>
      <c r="C3" s="30">
        <v>79.322000000000003</v>
      </c>
      <c r="D3" s="32" t="s">
        <v>23</v>
      </c>
      <c r="E3" s="115"/>
      <c r="F3" s="30"/>
      <c r="G3" s="114"/>
    </row>
    <row r="4" spans="1:15" x14ac:dyDescent="0.25">
      <c r="A4" s="33" t="s">
        <v>24</v>
      </c>
      <c r="B4" s="34" t="s">
        <v>25</v>
      </c>
      <c r="C4" s="34">
        <v>8.3592999999999993</v>
      </c>
      <c r="D4" s="35" t="s">
        <v>23</v>
      </c>
      <c r="E4" s="115"/>
      <c r="F4" s="30"/>
      <c r="G4" s="114"/>
    </row>
    <row r="5" spans="1:15" x14ac:dyDescent="0.25">
      <c r="A5" s="27" t="s">
        <v>18</v>
      </c>
      <c r="B5" s="28"/>
      <c r="C5" s="28" t="s">
        <v>19</v>
      </c>
      <c r="D5" s="29" t="s">
        <v>20</v>
      </c>
      <c r="E5" s="30"/>
      <c r="F5" s="30"/>
      <c r="G5" s="27" t="s">
        <v>78</v>
      </c>
      <c r="H5" s="123">
        <v>3.3449466699414958</v>
      </c>
      <c r="J5">
        <f>H5*C6/1000*D13</f>
        <v>2.1716909042101671</v>
      </c>
    </row>
    <row r="6" spans="1:15" x14ac:dyDescent="0.25">
      <c r="A6" s="31" t="s">
        <v>26</v>
      </c>
      <c r="B6" s="30"/>
      <c r="C6" s="30">
        <v>694.38</v>
      </c>
      <c r="D6" s="32" t="s">
        <v>71</v>
      </c>
      <c r="E6" s="30"/>
      <c r="F6" s="30"/>
      <c r="G6" s="109" t="s">
        <v>73</v>
      </c>
      <c r="H6" s="110">
        <v>0.87547584419575841</v>
      </c>
    </row>
    <row r="7" spans="1:15" x14ac:dyDescent="0.25">
      <c r="A7" s="31" t="s">
        <v>27</v>
      </c>
      <c r="B7" s="30"/>
      <c r="C7" s="36">
        <v>255.22200000000001</v>
      </c>
      <c r="D7" s="32"/>
      <c r="E7" s="30"/>
      <c r="F7" s="30"/>
      <c r="G7" s="111" t="s">
        <v>74</v>
      </c>
      <c r="H7" s="124">
        <v>0.913295382872503</v>
      </c>
      <c r="O7" s="91"/>
    </row>
    <row r="8" spans="1:15" x14ac:dyDescent="0.25">
      <c r="A8" s="31" t="s">
        <v>28</v>
      </c>
      <c r="B8" s="30"/>
      <c r="C8" s="37">
        <v>237.09</v>
      </c>
      <c r="D8" s="38" t="s">
        <v>29</v>
      </c>
      <c r="E8" s="30"/>
      <c r="F8" s="30"/>
      <c r="G8" s="30"/>
      <c r="O8" s="91"/>
    </row>
    <row r="9" spans="1:15" x14ac:dyDescent="0.25">
      <c r="A9" s="33" t="s">
        <v>30</v>
      </c>
      <c r="B9" s="34"/>
      <c r="C9" s="39"/>
      <c r="D9" s="40" t="s">
        <v>68</v>
      </c>
      <c r="E9" s="30"/>
      <c r="F9" s="30"/>
      <c r="G9" s="30"/>
      <c r="O9" s="91"/>
    </row>
    <row r="10" spans="1:15" x14ac:dyDescent="0.25">
      <c r="A10" s="30"/>
      <c r="B10" s="30"/>
      <c r="C10" s="30"/>
      <c r="D10" s="30"/>
      <c r="E10" s="30"/>
      <c r="F10" s="30"/>
      <c r="G10" s="30"/>
    </row>
    <row r="11" spans="1:15" x14ac:dyDescent="0.25">
      <c r="A11" s="66"/>
      <c r="B11" s="66"/>
      <c r="C11" s="67"/>
      <c r="D11" s="66"/>
      <c r="E11" s="66"/>
      <c r="F11" s="66"/>
      <c r="G11" s="66"/>
      <c r="H11" s="68"/>
      <c r="I11" s="107"/>
      <c r="J11" s="68"/>
      <c r="L11" s="69" t="s">
        <v>9</v>
      </c>
      <c r="M11" s="69" t="s">
        <v>10</v>
      </c>
      <c r="N11" s="70" t="s">
        <v>11</v>
      </c>
    </row>
    <row r="12" spans="1:15" ht="25.5" x14ac:dyDescent="0.25">
      <c r="A12" s="71" t="s">
        <v>58</v>
      </c>
      <c r="B12" s="71" t="s">
        <v>31</v>
      </c>
      <c r="C12" s="71" t="s">
        <v>59</v>
      </c>
      <c r="D12" s="71" t="s">
        <v>32</v>
      </c>
      <c r="E12" s="71" t="s">
        <v>72</v>
      </c>
      <c r="F12" s="71" t="s">
        <v>33</v>
      </c>
      <c r="G12" s="71" t="s">
        <v>34</v>
      </c>
      <c r="H12" s="71" t="s">
        <v>35</v>
      </c>
      <c r="I12" s="71" t="s">
        <v>36</v>
      </c>
      <c r="J12" s="116" t="s">
        <v>36</v>
      </c>
      <c r="K12" s="118" t="s">
        <v>60</v>
      </c>
      <c r="L12" s="71" t="s">
        <v>61</v>
      </c>
      <c r="M12" s="71" t="s">
        <v>62</v>
      </c>
      <c r="N12" s="72" t="s">
        <v>63</v>
      </c>
    </row>
    <row r="13" spans="1:15" x14ac:dyDescent="0.25">
      <c r="A13" s="30" t="s">
        <v>64</v>
      </c>
      <c r="B13" s="30" t="s">
        <v>42</v>
      </c>
      <c r="C13" s="73" t="s">
        <v>65</v>
      </c>
      <c r="D13" s="74">
        <v>0.93500000000000005</v>
      </c>
      <c r="E13" s="74">
        <v>0.9506</v>
      </c>
      <c r="F13" s="75">
        <f>($C$3*$C$7/$C$8-$H$5)*D13</f>
        <v>76.71056469253044</v>
      </c>
      <c r="G13" s="75">
        <f>$C$4*$C$7/$C$8*E13</f>
        <v>8.5540659147528775</v>
      </c>
      <c r="H13" s="75">
        <f>F13*$C$6/1000</f>
        <v>53.266281911199286</v>
      </c>
      <c r="I13" s="108">
        <f>G13*$C$6</f>
        <v>5939.772289886103</v>
      </c>
      <c r="J13" s="117">
        <f>I13*$H$7</f>
        <v>5424.7666076670121</v>
      </c>
      <c r="K13" s="76">
        <f>H13*$H$6</f>
        <v>46.633343123376449</v>
      </c>
      <c r="L13" s="77">
        <v>2.5992705791524648</v>
      </c>
      <c r="M13" s="77">
        <v>6.1114951746762607</v>
      </c>
      <c r="N13" s="76">
        <v>6.4146553735900778</v>
      </c>
    </row>
    <row r="14" spans="1:15" x14ac:dyDescent="0.25">
      <c r="A14" s="30" t="s">
        <v>64</v>
      </c>
      <c r="B14" s="30" t="s">
        <v>43</v>
      </c>
      <c r="C14" s="73" t="s">
        <v>66</v>
      </c>
      <c r="D14" s="74">
        <v>0.95369999999999999</v>
      </c>
      <c r="E14" s="74">
        <v>0.9829</v>
      </c>
      <c r="F14" s="75">
        <f t="shared" ref="F14:F15" si="0">($C$3*$C$7/$C$8-$H$5)*D14</f>
        <v>78.244775986381043</v>
      </c>
      <c r="G14" s="75">
        <f t="shared" ref="G14:G15" si="1">$C$4*$C$7/$C$8*E14</f>
        <v>8.8447205844841186</v>
      </c>
      <c r="H14" s="75">
        <f t="shared" ref="H14:H15" si="2">F14*$C$6/1000</f>
        <v>54.331607549423275</v>
      </c>
      <c r="I14" s="108">
        <f t="shared" ref="I14:I15" si="3">G14*$C$6</f>
        <v>6141.5970794540826</v>
      </c>
      <c r="J14" s="117">
        <f>I14*$H$7</f>
        <v>5609.0922561286625</v>
      </c>
      <c r="K14" s="76">
        <f t="shared" ref="K14:K15" si="4">H14*$H$6</f>
        <v>47.566009985843984</v>
      </c>
      <c r="L14" s="77">
        <v>2.5992705791524648</v>
      </c>
      <c r="M14" s="77">
        <v>6.1114951746762607</v>
      </c>
      <c r="N14" s="76">
        <v>6.4146553735900778</v>
      </c>
    </row>
    <row r="15" spans="1:15" x14ac:dyDescent="0.25">
      <c r="A15" s="30" t="s">
        <v>64</v>
      </c>
      <c r="B15" s="30" t="s">
        <v>16</v>
      </c>
      <c r="C15" s="73" t="s">
        <v>67</v>
      </c>
      <c r="D15" s="74">
        <v>0.98270000000000002</v>
      </c>
      <c r="E15" s="74">
        <v>1.0017</v>
      </c>
      <c r="F15" s="75">
        <f t="shared" si="0"/>
        <v>80.624034142619962</v>
      </c>
      <c r="G15" s="75">
        <f t="shared" si="1"/>
        <v>9.0138942003029214</v>
      </c>
      <c r="H15" s="75">
        <f t="shared" si="2"/>
        <v>55.983716827952449</v>
      </c>
      <c r="I15" s="108">
        <f t="shared" si="3"/>
        <v>6259.0678548063424</v>
      </c>
      <c r="J15" s="117">
        <f>I15*$H$7</f>
        <v>5716.3777728803343</v>
      </c>
      <c r="K15" s="76">
        <f t="shared" si="4"/>
        <v>49.012391751167954</v>
      </c>
      <c r="L15" s="77">
        <v>2.5992705791524648</v>
      </c>
      <c r="M15" s="77">
        <v>6.1114951746762607</v>
      </c>
      <c r="N15" s="76">
        <v>6.4146553735900778</v>
      </c>
    </row>
    <row r="16" spans="1:15" x14ac:dyDescent="0.25">
      <c r="F16" s="75"/>
    </row>
    <row r="17" spans="5:9" x14ac:dyDescent="0.25">
      <c r="E17" s="91"/>
      <c r="I17" s="91"/>
    </row>
    <row r="18" spans="5:9" x14ac:dyDescent="0.25">
      <c r="E18" s="91"/>
      <c r="I18" s="91"/>
    </row>
    <row r="19" spans="5:9" x14ac:dyDescent="0.25">
      <c r="E19" s="91"/>
      <c r="I19" s="9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2020-04-14T14:08:30Z</dcterms:modified>
</cp:coreProperties>
</file>