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0\08-ago\"/>
    </mc:Choice>
  </mc:AlternateContent>
  <xr:revisionPtr revIDLastSave="0" documentId="13_ncr:1_{30849860-C59F-4B00-AE97-8D09161E625B}" xr6:coauthVersionLast="45" xr6:coauthVersionMax="45" xr10:uidLastSave="{00000000-0000-0000-0000-000000000000}"/>
  <bookViews>
    <workbookView xWindow="-120" yWindow="-120" windowWidth="29040" windowHeight="15840" xr2:uid="{F2358186-0BE2-4736-A654-4A2DCED7D6D4}"/>
  </bookViews>
  <sheets>
    <sheet name="Montos facturar" sheetId="1" r:id="rId1"/>
    <sheet name="COPELEC" sheetId="3" r:id="rId2"/>
    <sheet name="Px" sheetId="2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6" i="1" l="1"/>
  <c r="O5" i="1"/>
  <c r="J17" i="1" l="1"/>
  <c r="L17" i="1"/>
  <c r="O8" i="1" s="1"/>
  <c r="I17" i="1"/>
  <c r="K17" i="1"/>
  <c r="O7" i="1" s="1"/>
  <c r="H17" i="1"/>
  <c r="G17" i="1"/>
  <c r="F13" i="2" l="1"/>
  <c r="H13" i="2" s="1"/>
  <c r="F16" i="2"/>
  <c r="F15" i="2"/>
  <c r="F14" i="2"/>
  <c r="U27" i="2"/>
  <c r="U26" i="2"/>
  <c r="U25" i="2"/>
  <c r="U24" i="2"/>
  <c r="T25" i="2"/>
  <c r="T26" i="2"/>
  <c r="T27" i="2"/>
  <c r="T24" i="2"/>
  <c r="H12" i="1" l="1"/>
  <c r="L12" i="1" s="1"/>
  <c r="H8" i="1"/>
  <c r="L8" i="1" s="1"/>
  <c r="H16" i="1"/>
  <c r="L16" i="1" s="1"/>
  <c r="G16" i="1"/>
  <c r="G16" i="2"/>
  <c r="I16" i="2" s="1"/>
  <c r="J16" i="2" s="1"/>
  <c r="H16" i="2"/>
  <c r="K16" i="2" s="1"/>
  <c r="E16" i="1" l="1"/>
  <c r="I16" i="1" s="1"/>
  <c r="E12" i="1"/>
  <c r="E8" i="1"/>
  <c r="D16" i="1"/>
  <c r="J16" i="1" s="1"/>
  <c r="D12" i="1"/>
  <c r="J12" i="1" s="1"/>
  <c r="D8" i="1"/>
  <c r="J8" i="1" s="1"/>
  <c r="I8" i="1"/>
  <c r="I12" i="1"/>
  <c r="J5" i="2" l="1"/>
  <c r="H14" i="2" l="1"/>
  <c r="H15" i="2"/>
  <c r="K15" i="2" s="1"/>
  <c r="E15" i="1" l="1"/>
  <c r="E11" i="1"/>
  <c r="E7" i="1"/>
  <c r="K14" i="2"/>
  <c r="E14" i="1" s="1"/>
  <c r="K13" i="2"/>
  <c r="G14" i="2"/>
  <c r="I14" i="2" s="1"/>
  <c r="J14" i="2" s="1"/>
  <c r="G15" i="2"/>
  <c r="I15" i="2" s="1"/>
  <c r="J15" i="2" s="1"/>
  <c r="G13" i="2"/>
  <c r="D15" i="1" l="1"/>
  <c r="D11" i="1"/>
  <c r="J11" i="1" s="1"/>
  <c r="D7" i="1"/>
  <c r="D6" i="1"/>
  <c r="D14" i="1"/>
  <c r="D10" i="1"/>
  <c r="J10" i="1" s="1"/>
  <c r="E9" i="1"/>
  <c r="E5" i="1"/>
  <c r="E13" i="1"/>
  <c r="E6" i="1"/>
  <c r="E10" i="1"/>
  <c r="I13" i="2"/>
  <c r="J13" i="2" s="1"/>
  <c r="F13" i="1"/>
  <c r="F14" i="1"/>
  <c r="F15" i="1"/>
  <c r="F9" i="1"/>
  <c r="F10" i="1"/>
  <c r="F11" i="1"/>
  <c r="F5" i="1"/>
  <c r="F6" i="1"/>
  <c r="F7" i="1"/>
  <c r="D13" i="1" l="1"/>
  <c r="D9" i="1"/>
  <c r="J9" i="1" s="1"/>
  <c r="D5" i="1"/>
  <c r="J5" i="1" s="1"/>
  <c r="J6" i="1"/>
  <c r="J7" i="1"/>
  <c r="G15" i="1" l="1"/>
  <c r="J15" i="1" s="1"/>
  <c r="G14" i="1"/>
  <c r="J14" i="1" s="1"/>
  <c r="G13" i="1"/>
  <c r="H15" i="1"/>
  <c r="I15" i="1" s="1"/>
  <c r="H14" i="1"/>
  <c r="I14" i="1" s="1"/>
  <c r="H13" i="1"/>
  <c r="I13" i="1" s="1"/>
  <c r="H11" i="1"/>
  <c r="H10" i="1"/>
  <c r="H9" i="1"/>
  <c r="H7" i="1"/>
  <c r="I7" i="1" s="1"/>
  <c r="H6" i="1"/>
  <c r="I6" i="1" s="1"/>
  <c r="H5" i="1"/>
  <c r="L11" i="1" l="1"/>
  <c r="I11" i="1"/>
  <c r="I10" i="1"/>
  <c r="L10" i="1"/>
  <c r="L9" i="1"/>
  <c r="I9" i="1"/>
  <c r="I5" i="1"/>
  <c r="L14" i="1"/>
  <c r="L5" i="1"/>
  <c r="L15" i="1"/>
  <c r="L6" i="1"/>
  <c r="L7" i="1"/>
  <c r="L13" i="1"/>
  <c r="J13" i="1"/>
  <c r="O9" i="1" l="1"/>
</calcChain>
</file>

<file path=xl/sharedStrings.xml><?xml version="1.0" encoding="utf-8"?>
<sst xmlns="http://schemas.openxmlformats.org/spreadsheetml/2006/main" count="185" uniqueCount="90">
  <si>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</si>
  <si>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</si>
  <si>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</si>
  <si>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</si>
  <si>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</si>
  <si>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</si>
  <si>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</si>
  <si>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</si>
  <si>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</si>
  <si>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</si>
  <si>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</si>
  <si>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</si>
  <si>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</si>
  <si>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</si>
  <si>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</si>
  <si>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</si>
  <si>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Alto Jahuel 220</t>
  </si>
  <si>
    <t>Factura</t>
  </si>
  <si>
    <t>Concepto</t>
  </si>
  <si>
    <t>Valor</t>
  </si>
  <si>
    <t>Fuente</t>
  </si>
  <si>
    <t>Energia</t>
  </si>
  <si>
    <t>US$/MWh</t>
  </si>
  <si>
    <t>PPA</t>
  </si>
  <si>
    <t>Potencia</t>
  </si>
  <si>
    <t>US$/kW/mes</t>
  </si>
  <si>
    <t>TC</t>
  </si>
  <si>
    <t>CPI</t>
  </si>
  <si>
    <t>CPI0</t>
  </si>
  <si>
    <t>(Feb-15 - Jul-15)</t>
  </si>
  <si>
    <t>Factores modulación</t>
  </si>
  <si>
    <t>Punto Compra</t>
  </si>
  <si>
    <t>Fmodulacion E</t>
  </si>
  <si>
    <t>Energia [US$/MWh]</t>
  </si>
  <si>
    <t>Potencia [US$/MWh]</t>
  </si>
  <si>
    <t>Energia [$/kWh]</t>
  </si>
  <si>
    <t>Potencia [$/kWh]</t>
  </si>
  <si>
    <t>REACTIVO</t>
  </si>
  <si>
    <t>ENERGÍA</t>
  </si>
  <si>
    <t>A</t>
  </si>
  <si>
    <t>B</t>
  </si>
  <si>
    <t>C</t>
  </si>
  <si>
    <t>Charrua 220</t>
  </si>
  <si>
    <t>Itahue 220</t>
  </si>
  <si>
    <t>COPELEC</t>
  </si>
  <si>
    <t>MES</t>
  </si>
  <si>
    <t>ENERGÍA (kwh)</t>
  </si>
  <si>
    <t>TOTAL ENERGÍA</t>
  </si>
  <si>
    <t>Prorrata</t>
  </si>
  <si>
    <t>kW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</si>
  <si>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</si>
  <si>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</si>
  <si>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</si>
  <si>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</si>
  <si>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</si>
  <si>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</si>
  <si>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</si>
  <si>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</si>
  <si>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</si>
  <si>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>Corr</t>
  </si>
  <si>
    <t>Energía [$/kWh]</t>
  </si>
  <si>
    <t>AAT A [$/kWh]</t>
  </si>
  <si>
    <t>AAT B [$/kWh]</t>
  </si>
  <si>
    <t>AAT C [$/kWh]</t>
  </si>
  <si>
    <t>Copelec</t>
  </si>
  <si>
    <t>Copelec_Charrua 220</t>
  </si>
  <si>
    <t>Copelec_Itahue 220</t>
  </si>
  <si>
    <t>Copelec_Alto Jahuel 220</t>
  </si>
  <si>
    <t>9T/2019</t>
  </si>
  <si>
    <t xml:space="preserve">[MW] </t>
  </si>
  <si>
    <t>Facturación con Factor</t>
  </si>
  <si>
    <t>Fmodulacion P</t>
  </si>
  <si>
    <t xml:space="preserve">Factor Ajuste Energía </t>
  </si>
  <si>
    <t>Factor Ajuste Potencia</t>
  </si>
  <si>
    <t xml:space="preserve">Nota: </t>
  </si>
  <si>
    <t>El Precio de la energía incluye el descuento por CET</t>
  </si>
  <si>
    <t>CET [USD/MWh]</t>
  </si>
  <si>
    <t>Rapel 220</t>
  </si>
  <si>
    <t>Julio</t>
  </si>
  <si>
    <t>Copelec_Rapel 220</t>
  </si>
  <si>
    <t>FME</t>
  </si>
  <si>
    <t>FMP</t>
  </si>
  <si>
    <t>PNP Jul2020 y FM 2T/2020</t>
  </si>
  <si>
    <t xml:space="preserve"> ITD Julio 2020</t>
  </si>
  <si>
    <t xml:space="preserve"> ITD Enero 2020</t>
  </si>
  <si>
    <t>PNP Ene2020 y FM 9T/2019</t>
  </si>
  <si>
    <t>PNP 2T-20 (abr-20 a sep-20)</t>
  </si>
  <si>
    <t>Active Energy: 1,971,912.5 kWh</t>
  </si>
  <si>
    <t>Capacity: 3,699 kW</t>
  </si>
  <si>
    <t>Conceptos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</si>
</sst>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_-;\-* #,##0.00_-;_-* &quot;-&quot;??_-;_-@_-"/>
    <numFmt numFmtId="165" formatCode="0.0000"/>
    <numFmt numFmtId="166" formatCode="0.000"/>
    <numFmt numFmtId="167" formatCode="#,##0.0000"/>
    <numFmt numFmtId="168" formatCode="_ * #,##0.000_ ;_ * \-#,##0.000_ ;_ * &quot;-&quot;_ ;_ @_ "/>
    <numFmt numFmtId="169" formatCode="0.00\ %"/>
    <numFmt numFmtId="170" formatCode="_ * #,##0.00_ ;_ * \-#,##0.00_ ;_ * \-_ ;_ @_ "/>
    <numFmt numFmtId="171" formatCode="#,##0.000"/>
    <numFmt numFmtId="172" formatCode="0.000000"/>
  </numFmts>
  <fonts count="17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entury Gothic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0"/>
      <color rgb="FF000000"/>
      <name val="Calibri"/>
      <family val="2"/>
    </font>
    <font>
      <sz val="10"/>
      <color rgb="FFA6A6A6"/>
      <name val="Calibri"/>
      <family val="2"/>
    </font>
    <font>
      <sz val="10"/>
      <color theme="0" tint="-0.34998626667073579"/>
      <name val="Calibri"/>
      <family val="2"/>
      <scheme val="minor"/>
    </font>
    <font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56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6" fontId="4" fillId="0" borderId="0" xfId="0" applyNumberFormat="1" applyFont="1"/>
    <xf numFmtId="0" fontId="4" fillId="7" borderId="1" xfId="0" applyFont="1" applyFill="1" applyBorder="1" applyAlignment="1">
      <alignment horizontal="center"/>
    </xf>
    <xf numFmtId="166" fontId="4" fillId="0" borderId="2" xfId="0" applyNumberFormat="1" applyFont="1" applyBorder="1"/>
    <xf numFmtId="0" fontId="4" fillId="7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9" fillId="8" borderId="0" xfId="0" applyFont="1" applyFill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0" fillId="9" borderId="17" xfId="0" applyFont="1" applyFill="1" applyBorder="1" applyAlignment="1">
      <alignment horizontal="center" vertical="center"/>
    </xf>
    <xf numFmtId="0" fontId="10" fillId="9" borderId="18" xfId="0" applyFont="1" applyFill="1" applyBorder="1" applyAlignment="1">
      <alignment horizontal="center" vertical="center"/>
    </xf>
    <xf numFmtId="0" fontId="10" fillId="9" borderId="19" xfId="3" applyFont="1" applyFill="1" applyBorder="1" applyAlignment="1">
      <alignment horizontal="center" vertical="center"/>
    </xf>
    <xf numFmtId="0" fontId="10" fillId="9" borderId="20" xfId="3" applyFont="1" applyFill="1" applyBorder="1" applyAlignment="1">
      <alignment horizontal="center" vertical="center"/>
    </xf>
    <xf numFmtId="0" fontId="10" fillId="9" borderId="21" xfId="3" applyFont="1" applyFill="1" applyBorder="1" applyAlignment="1">
      <alignment horizontal="center" vertical="center"/>
    </xf>
    <xf numFmtId="0" fontId="10" fillId="0" borderId="23" xfId="0" applyFont="1" applyBorder="1" applyAlignment="1">
      <alignment horizontal="center"/>
    </xf>
    <xf numFmtId="0" fontId="10" fillId="0" borderId="23" xfId="0" applyFont="1" applyBorder="1"/>
    <xf numFmtId="0" fontId="0" fillId="9" borderId="24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169" fontId="0" fillId="0" borderId="8" xfId="2" applyNumberFormat="1" applyFont="1" applyBorder="1" applyAlignment="1">
      <alignment horizontal="center"/>
    </xf>
    <xf numFmtId="169" fontId="0" fillId="0" borderId="16" xfId="2" applyNumberFormat="1" applyFont="1" applyBorder="1" applyAlignment="1">
      <alignment horizontal="center"/>
    </xf>
    <xf numFmtId="170" fontId="0" fillId="0" borderId="16" xfId="3" applyNumberFormat="1" applyFont="1" applyBorder="1"/>
    <xf numFmtId="164" fontId="0" fillId="0" borderId="0" xfId="1" applyFont="1"/>
    <xf numFmtId="168" fontId="12" fillId="0" borderId="0" xfId="0" applyNumberFormat="1" applyFont="1"/>
    <xf numFmtId="0" fontId="2" fillId="0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66" fontId="0" fillId="0" borderId="28" xfId="0" applyNumberFormat="1" applyBorder="1" applyAlignment="1">
      <alignment horizontal="center" vertical="center"/>
    </xf>
    <xf numFmtId="166" fontId="0" fillId="0" borderId="29" xfId="0" applyNumberForma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3" fillId="0" borderId="1" xfId="0" applyFont="1" applyBorder="1"/>
    <xf numFmtId="0" fontId="13" fillId="0" borderId="0" xfId="0" applyFont="1" applyAlignment="1">
      <alignment horizontal="center"/>
    </xf>
    <xf numFmtId="0" fontId="13" fillId="0" borderId="1" xfId="0" applyFont="1" applyBorder="1" applyAlignment="1">
      <alignment horizontal="center"/>
    </xf>
    <xf numFmtId="0" fontId="6" fillId="6" borderId="2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15" fillId="0" borderId="0" xfId="0" applyFont="1"/>
    <xf numFmtId="167" fontId="4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center"/>
    </xf>
    <xf numFmtId="171" fontId="4" fillId="0" borderId="1" xfId="0" applyNumberFormat="1" applyFont="1" applyBorder="1" applyAlignment="1">
      <alignment horizontal="center"/>
    </xf>
    <xf numFmtId="171" fontId="4" fillId="0" borderId="0" xfId="0" applyNumberFormat="1" applyFont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2" xfId="0" applyFont="1" applyFill="1" applyBorder="1" applyAlignment="1">
      <alignment vertical="center"/>
    </xf>
    <xf numFmtId="166" fontId="0" fillId="0" borderId="0" xfId="0" applyNumberFormat="1"/>
    <xf numFmtId="3" fontId="0" fillId="0" borderId="27" xfId="3" applyNumberFormat="1" applyFont="1" applyBorder="1" applyAlignment="1">
      <alignment horizontal="center"/>
    </xf>
    <xf numFmtId="3" fontId="0" fillId="0" borderId="25" xfId="3" applyNumberFormat="1" applyFont="1" applyBorder="1" applyAlignment="1">
      <alignment horizontal="center"/>
    </xf>
    <xf numFmtId="3" fontId="0" fillId="0" borderId="16" xfId="3" applyNumberFormat="1" applyFont="1" applyBorder="1" applyAlignment="1">
      <alignment horizontal="center"/>
    </xf>
    <xf numFmtId="3" fontId="0" fillId="0" borderId="26" xfId="3" applyNumberFormat="1" applyFont="1" applyBorder="1" applyAlignment="1">
      <alignment horizontal="center"/>
    </xf>
    <xf numFmtId="0" fontId="0" fillId="0" borderId="0" xfId="0" applyBorder="1" applyAlignment="1">
      <alignment vertical="center"/>
    </xf>
    <xf numFmtId="0" fontId="16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3" fillId="0" borderId="0" xfId="0" applyFont="1" applyBorder="1"/>
    <xf numFmtId="4" fontId="4" fillId="0" borderId="0" xfId="0" applyNumberFormat="1" applyFont="1" applyAlignment="1">
      <alignment horizontal="center"/>
    </xf>
    <xf numFmtId="0" fontId="3" fillId="6" borderId="10" xfId="0" applyFont="1" applyFill="1" applyBorder="1" applyAlignment="1">
      <alignment horizontal="center"/>
    </xf>
    <xf numFmtId="0" fontId="3" fillId="6" borderId="11" xfId="0" applyFont="1" applyFill="1" applyBorder="1" applyAlignment="1">
      <alignment horizontal="center"/>
    </xf>
    <xf numFmtId="0" fontId="0" fillId="0" borderId="0" xfId="0" applyFill="1" applyBorder="1"/>
    <xf numFmtId="165" fontId="1" fillId="0" borderId="0" xfId="0" applyNumberFormat="1" applyFont="1" applyFill="1" applyBorder="1" applyAlignment="1">
      <alignment horizontal="center"/>
    </xf>
    <xf numFmtId="172" fontId="4" fillId="0" borderId="0" xfId="0" applyNumberFormat="1" applyFont="1"/>
    <xf numFmtId="165" fontId="4" fillId="0" borderId="0" xfId="0" applyNumberFormat="1" applyFont="1"/>
    <xf numFmtId="0" fontId="6" fillId="6" borderId="10" xfId="0" applyFont="1" applyFill="1" applyBorder="1" applyAlignment="1">
      <alignment horizontal="center" vertical="center" wrapText="1"/>
    </xf>
    <xf numFmtId="171" fontId="4" fillId="0" borderId="10" xfId="0" applyNumberFormat="1" applyFont="1" applyBorder="1" applyAlignment="1">
      <alignment horizontal="center"/>
    </xf>
    <xf numFmtId="0" fontId="6" fillId="6" borderId="1" xfId="0" applyFont="1" applyFill="1" applyBorder="1" applyAlignment="1">
      <alignment horizontal="center" vertical="center" wrapText="1"/>
    </xf>
    <xf numFmtId="166" fontId="0" fillId="0" borderId="5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0" fontId="2" fillId="3" borderId="23" xfId="0" applyFont="1" applyFill="1" applyBorder="1" applyAlignment="1">
      <alignment horizontal="right"/>
    </xf>
    <xf numFmtId="2" fontId="0" fillId="0" borderId="11" xfId="0" applyNumberFormat="1" applyBorder="1" applyAlignment="1">
      <alignment horizontal="center"/>
    </xf>
    <xf numFmtId="166" fontId="0" fillId="0" borderId="2" xfId="0" applyNumberFormat="1" applyBorder="1" applyAlignment="1">
      <alignment horizontal="center"/>
    </xf>
    <xf numFmtId="2" fontId="0" fillId="0" borderId="11" xfId="0" applyNumberFormat="1" applyBorder="1" applyAlignment="1">
      <alignment horizontal="center" vertical="center"/>
    </xf>
    <xf numFmtId="166" fontId="0" fillId="0" borderId="2" xfId="0" applyNumberFormat="1" applyBorder="1" applyAlignment="1">
      <alignment horizontal="center" vertical="center"/>
    </xf>
    <xf numFmtId="166" fontId="0" fillId="0" borderId="11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4" fontId="0" fillId="0" borderId="0" xfId="0" applyNumberFormat="1"/>
    <xf numFmtId="166" fontId="0" fillId="0" borderId="28" xfId="0" applyNumberFormat="1" applyBorder="1" applyAlignment="1">
      <alignment horizontal="center"/>
    </xf>
    <xf numFmtId="166" fontId="0" fillId="0" borderId="5" xfId="0" applyNumberFormat="1" applyBorder="1" applyAlignment="1">
      <alignment horizontal="center"/>
    </xf>
    <xf numFmtId="166" fontId="0" fillId="0" borderId="29" xfId="0" applyNumberFormat="1" applyBorder="1" applyAlignment="1">
      <alignment horizontal="center"/>
    </xf>
    <xf numFmtId="166" fontId="0" fillId="0" borderId="23" xfId="0" applyNumberFormat="1" applyBorder="1" applyAlignment="1">
      <alignment horizontal="center"/>
    </xf>
    <xf numFmtId="0" fontId="4" fillId="0" borderId="0" xfId="0" applyFont="1" applyBorder="1"/>
    <xf numFmtId="171" fontId="4" fillId="0" borderId="11" xfId="0" applyNumberFormat="1" applyFont="1" applyBorder="1" applyAlignment="1">
      <alignment horizontal="center"/>
    </xf>
    <xf numFmtId="171" fontId="4" fillId="0" borderId="3" xfId="0" applyNumberFormat="1" applyFont="1" applyBorder="1" applyAlignment="1">
      <alignment horizontal="center"/>
    </xf>
    <xf numFmtId="0" fontId="0" fillId="0" borderId="0" xfId="0" applyBorder="1"/>
    <xf numFmtId="0" fontId="6" fillId="6" borderId="7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166" fontId="5" fillId="0" borderId="0" xfId="0" applyNumberFormat="1" applyFont="1"/>
    <xf numFmtId="166" fontId="0" fillId="0" borderId="1" xfId="0" applyNumberFormat="1" applyBorder="1" applyAlignment="1">
      <alignment horizontal="center"/>
    </xf>
    <xf numFmtId="166" fontId="0" fillId="0" borderId="3" xfId="0" applyNumberFormat="1" applyBorder="1" applyAlignment="1">
      <alignment horizontal="center"/>
    </xf>
    <xf numFmtId="4" fontId="4" fillId="0" borderId="10" xfId="0" applyNumberFormat="1" applyFont="1" applyBorder="1" applyAlignment="1">
      <alignment horizontal="center"/>
    </xf>
    <xf numFmtId="3" fontId="2" fillId="3" borderId="2" xfId="0" applyNumberFormat="1" applyFont="1" applyFill="1" applyBorder="1" applyAlignment="1">
      <alignment horizontal="center" vertical="center"/>
    </xf>
    <xf numFmtId="4" fontId="2" fillId="3" borderId="8" xfId="0" applyNumberFormat="1" applyFont="1" applyFill="1" applyBorder="1" applyAlignment="1">
      <alignment horizontal="center" vertical="center"/>
    </xf>
    <xf numFmtId="3" fontId="2" fillId="3" borderId="8" xfId="0" applyNumberFormat="1" applyFont="1" applyFill="1" applyBorder="1" applyAlignment="1">
      <alignment horizontal="center" vertical="center"/>
    </xf>
    <xf numFmtId="171" fontId="2" fillId="3" borderId="2" xfId="0" applyNumberFormat="1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2" xfId="3" applyFont="1" applyBorder="1" applyAlignment="1">
      <alignment horizontal="center"/>
    </xf>
    <xf numFmtId="0" fontId="10" fillId="0" borderId="12" xfId="3" applyFont="1" applyBorder="1" applyAlignment="1">
      <alignment horizontal="center" vertical="center" wrapText="1"/>
    </xf>
    <xf numFmtId="0" fontId="10" fillId="0" borderId="22" xfId="3" applyFont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4">
    <cellStyle name="Millares" xfId="1" builtinId="3"/>
    <cellStyle name="Normal" xfId="0" builtinId="0"/>
    <cellStyle name="Porcentaje" xfId="2" builtinId="5"/>
    <cellStyle name="Texto explicativo" xfId="3" builtinId="5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32"/>
  <sheetViews>
    <sheetView tabSelected="1" zoomScale="90" zoomScaleNormal="90" workbookViewId="0">
      <selection activeCell="N19" sqref="N19"/>
    </sheetView>
  </sheetViews>
  <sheetFormatPr baseColWidth="10" defaultRowHeight="13.5" x14ac:dyDescent="0.25"/>
  <cols>
    <col min="2" max="2" width="7.28515625" bestFit="1" customWidth="1"/>
    <col min="3" max="3" width="25.42578125" bestFit="1" customWidth="1"/>
    <col min="4" max="4" width="17.7109375" bestFit="1" customWidth="1"/>
    <col min="5" max="5" width="16.42578125" bestFit="1" customWidth="1"/>
    <col min="6" max="6" width="10.42578125" customWidth="1"/>
    <col min="7" max="7" width="16.42578125" bestFit="1" customWidth="1"/>
    <col min="8" max="8" width="16.140625" customWidth="1"/>
    <col min="9" max="12" width="16.42578125" customWidth="1"/>
    <col min="14" max="14" width="29.5703125" customWidth="1"/>
    <col min="15" max="15" width="19.28515625" customWidth="1"/>
  </cols>
  <sheetData>
    <row r="2" spans="1:15" s="15" customFormat="1" x14ac:dyDescent="0.25">
      <c r="A2" s="77"/>
      <c r="B2" s="77"/>
      <c r="C2" s="90"/>
      <c r="D2" s="91"/>
      <c r="E2" s="77"/>
      <c r="F2" s="70"/>
      <c r="G2" s="70"/>
      <c r="H2" s="71"/>
      <c r="I2" s="136" t="s">
        <v>17</v>
      </c>
      <c r="J2" s="137"/>
      <c r="K2" s="137"/>
      <c r="L2" s="138"/>
    </row>
    <row r="3" spans="1:15" x14ac:dyDescent="0.25">
      <c r="A3" s="139" t="s">
        <v>15</v>
      </c>
      <c r="B3" s="142" t="s">
        <v>0</v>
      </c>
      <c r="C3" s="144" t="s">
        <v>1</v>
      </c>
      <c r="D3" s="81" t="s">
        <v>2</v>
      </c>
      <c r="E3" s="79" t="s">
        <v>3</v>
      </c>
      <c r="F3" s="32" t="s">
        <v>50</v>
      </c>
      <c r="G3" s="1" t="s">
        <v>4</v>
      </c>
      <c r="H3" s="2" t="s">
        <v>5</v>
      </c>
      <c r="I3" s="69" t="s">
        <v>38</v>
      </c>
      <c r="J3" s="68" t="s">
        <v>4</v>
      </c>
      <c r="K3" s="68" t="s">
        <v>37</v>
      </c>
      <c r="L3" s="53" t="s">
        <v>50</v>
      </c>
      <c r="N3" s="141" t="s">
        <v>70</v>
      </c>
      <c r="O3" s="141"/>
    </row>
    <row r="4" spans="1:15" ht="15" x14ac:dyDescent="0.25">
      <c r="A4" s="140"/>
      <c r="B4" s="143"/>
      <c r="C4" s="145"/>
      <c r="D4" s="82" t="s">
        <v>6</v>
      </c>
      <c r="E4" s="80" t="s">
        <v>7</v>
      </c>
      <c r="F4" s="33" t="s">
        <v>57</v>
      </c>
      <c r="G4" s="3" t="s">
        <v>69</v>
      </c>
      <c r="H4" s="4" t="s">
        <v>8</v>
      </c>
      <c r="I4" s="85" t="s">
        <v>14</v>
      </c>
      <c r="J4" s="83" t="s">
        <v>14</v>
      </c>
      <c r="K4" s="83" t="s">
        <v>14</v>
      </c>
      <c r="L4" s="84" t="s">
        <v>14</v>
      </c>
      <c r="N4" s="10" t="s">
        <v>89</v>
      </c>
      <c r="O4" s="10" t="s">
        <v>44</v>
      </c>
    </row>
    <row r="5" spans="1:15" x14ac:dyDescent="0.25">
      <c r="A5" t="s">
        <v>44</v>
      </c>
      <c r="B5" s="5" t="s">
        <v>9</v>
      </c>
      <c r="C5" s="6" t="s">
        <v>42</v>
      </c>
      <c r="D5" s="17">
        <f>VLOOKUP($C5,Px!$B$13:$N$16,9,0)</f>
        <v>5509.8291676733552</v>
      </c>
      <c r="E5" s="97">
        <f>VLOOKUP($C5,Px!$B$13:$N$16,10,0)</f>
        <v>50.285019435491002</v>
      </c>
      <c r="F5" s="54">
        <f>Px!L13</f>
        <v>2.5992705791524648</v>
      </c>
      <c r="G5" s="7"/>
      <c r="H5" s="105">
        <f>COPELEC!I6/1000</f>
        <v>539.60731981089975</v>
      </c>
      <c r="I5" s="109">
        <f t="shared" ref="I5:I14" si="0">H5*E5*1000</f>
        <v>27134164.564224303</v>
      </c>
      <c r="J5" s="110">
        <f t="shared" ref="J5:J14" si="1">G5*D5*1000</f>
        <v>0</v>
      </c>
      <c r="K5" s="110"/>
      <c r="L5" s="111">
        <f t="shared" ref="L5:L14" si="2">H5*F5*1000</f>
        <v>1402585.4306797867</v>
      </c>
      <c r="N5" s="11" t="s">
        <v>87</v>
      </c>
      <c r="O5" s="12">
        <f>I17</f>
        <v>99327227.311866462</v>
      </c>
    </row>
    <row r="6" spans="1:15" x14ac:dyDescent="0.25">
      <c r="A6" t="s">
        <v>44</v>
      </c>
      <c r="B6" t="s">
        <v>9</v>
      </c>
      <c r="C6" s="8" t="s">
        <v>43</v>
      </c>
      <c r="D6" s="16">
        <f>VLOOKUP($C6,Px!$B$13:$N$16,9,0)</f>
        <v>5629.0895392680159</v>
      </c>
      <c r="E6" s="98">
        <f>VLOOKUP($C6,Px!$B$13:$N$16,10,0)</f>
        <v>50.366019788963115</v>
      </c>
      <c r="F6" s="55">
        <f>Px!L14</f>
        <v>2.5992705791524648</v>
      </c>
      <c r="G6" s="9"/>
      <c r="H6" s="106">
        <f>COPELEC!F6/1000</f>
        <v>17.114142911053985</v>
      </c>
      <c r="I6" s="112">
        <f t="shared" si="0"/>
        <v>861971.26052928786</v>
      </c>
      <c r="J6" s="113">
        <f t="shared" si="1"/>
        <v>0</v>
      </c>
      <c r="K6" s="113"/>
      <c r="L6" s="114">
        <f t="shared" si="2"/>
        <v>44484.288156113347</v>
      </c>
      <c r="N6" s="11" t="s">
        <v>88</v>
      </c>
      <c r="O6" s="12">
        <f>J17</f>
        <v>20417818.461570922</v>
      </c>
    </row>
    <row r="7" spans="1:15" x14ac:dyDescent="0.25">
      <c r="A7" t="s">
        <v>44</v>
      </c>
      <c r="B7" t="s">
        <v>9</v>
      </c>
      <c r="C7" s="8" t="s">
        <v>16</v>
      </c>
      <c r="D7" s="16">
        <f>VLOOKUP($C7,Px!$B$13:$N$16,9,0)</f>
        <v>5699.5099491620076</v>
      </c>
      <c r="E7" s="98">
        <f>VLOOKUP($C7,Px!$B$13:$N$16,10,0)</f>
        <v>52.70422999252493</v>
      </c>
      <c r="F7" s="55">
        <f>Px!L15</f>
        <v>2.5992705791524648</v>
      </c>
      <c r="G7" s="9"/>
      <c r="H7" s="106">
        <f>COPELEC!C6/1000</f>
        <v>19.493072706602742</v>
      </c>
      <c r="I7" s="112">
        <f t="shared" si="0"/>
        <v>1027367.3871898013</v>
      </c>
      <c r="J7" s="113">
        <f t="shared" si="1"/>
        <v>0</v>
      </c>
      <c r="K7" s="113"/>
      <c r="L7" s="114">
        <f t="shared" si="2"/>
        <v>50667.770383552415</v>
      </c>
      <c r="N7" s="11" t="s">
        <v>13</v>
      </c>
      <c r="O7" s="12">
        <f>K17</f>
        <v>0</v>
      </c>
    </row>
    <row r="8" spans="1:15" x14ac:dyDescent="0.25">
      <c r="A8" t="s">
        <v>44</v>
      </c>
      <c r="B8" t="s">
        <v>9</v>
      </c>
      <c r="C8" s="8" t="s">
        <v>77</v>
      </c>
      <c r="D8" s="16">
        <f>VLOOKUP($C8,Px!$B$13:$N$16,9,0)</f>
        <v>5405.3343658951753</v>
      </c>
      <c r="E8" s="98">
        <f>VLOOKUP($C8,Px!$B$13:$N$16,10,0)</f>
        <v>52.045427117618367</v>
      </c>
      <c r="F8" s="55">
        <v>2.5992705791524648</v>
      </c>
      <c r="G8" s="9"/>
      <c r="H8" s="106">
        <f>COPELEC!L6/1000</f>
        <v>0.65556216730646877</v>
      </c>
      <c r="I8" s="112">
        <f t="shared" ref="I8:I12" si="3">H8*E8*1000</f>
        <v>34119.01299961676</v>
      </c>
      <c r="J8" s="113">
        <f t="shared" ref="J8:J12" si="4">G8*D8*1000</f>
        <v>0</v>
      </c>
      <c r="K8" s="113"/>
      <c r="L8" s="114">
        <f t="shared" ref="L8:L12" si="5">H8*F8*1000</f>
        <v>1703.9834542851302</v>
      </c>
      <c r="N8" s="11" t="s">
        <v>50</v>
      </c>
      <c r="O8" s="12">
        <f>L17</f>
        <v>10186855.772821357</v>
      </c>
    </row>
    <row r="9" spans="1:15" x14ac:dyDescent="0.25">
      <c r="A9" t="s">
        <v>44</v>
      </c>
      <c r="B9" t="s">
        <v>10</v>
      </c>
      <c r="C9" s="8" t="s">
        <v>42</v>
      </c>
      <c r="D9" s="16">
        <f>VLOOKUP($C9,Px!$B$13:$N$16,9,0)</f>
        <v>5509.8291676733552</v>
      </c>
      <c r="E9" s="98">
        <f>VLOOKUP($C9,Px!$B$13:$N$16,10,0)</f>
        <v>50.285019435491002</v>
      </c>
      <c r="F9" s="55">
        <f>Px!M13</f>
        <v>6.1114951746762607</v>
      </c>
      <c r="G9" s="9"/>
      <c r="H9" s="106">
        <f>COPELEC!J7/1000</f>
        <v>806.53279420194667</v>
      </c>
      <c r="I9" s="112">
        <f t="shared" si="3"/>
        <v>40556517.231805749</v>
      </c>
      <c r="J9" s="113">
        <f t="shared" si="4"/>
        <v>0</v>
      </c>
      <c r="K9" s="113"/>
      <c r="L9" s="114">
        <f t="shared" si="5"/>
        <v>4929121.2799833585</v>
      </c>
      <c r="N9" s="13" t="s">
        <v>12</v>
      </c>
      <c r="O9" s="14">
        <f>SUM(O5:O8)</f>
        <v>129931901.54625873</v>
      </c>
    </row>
    <row r="10" spans="1:15" x14ac:dyDescent="0.25">
      <c r="A10" t="s">
        <v>44</v>
      </c>
      <c r="B10" t="s">
        <v>10</v>
      </c>
      <c r="C10" s="8" t="s">
        <v>43</v>
      </c>
      <c r="D10" s="16">
        <f>VLOOKUP($C10,Px!$B$13:$N$16,9,0)</f>
        <v>5629.0895392680159</v>
      </c>
      <c r="E10" s="98">
        <f>VLOOKUP($C10,Px!$B$13:$N$16,10,0)</f>
        <v>50.366019788963115</v>
      </c>
      <c r="F10" s="55">
        <f>Px!M14</f>
        <v>6.1114951746762607</v>
      </c>
      <c r="G10" s="9"/>
      <c r="H10" s="106">
        <f>COPELEC!G7/1000</f>
        <v>25.373766204243552</v>
      </c>
      <c r="I10" s="112">
        <f t="shared" si="3"/>
        <v>1277975.6107634541</v>
      </c>
      <c r="J10" s="113">
        <f t="shared" si="4"/>
        <v>0</v>
      </c>
      <c r="K10" s="113"/>
      <c r="L10" s="114">
        <f t="shared" si="5"/>
        <v>155071.64972059804</v>
      </c>
    </row>
    <row r="11" spans="1:15" x14ac:dyDescent="0.25">
      <c r="A11" t="s">
        <v>44</v>
      </c>
      <c r="B11" t="s">
        <v>10</v>
      </c>
      <c r="C11" s="8" t="s">
        <v>16</v>
      </c>
      <c r="D11" s="16">
        <f>VLOOKUP($C11,Px!$B$13:$N$16,9,0)</f>
        <v>5699.5099491620076</v>
      </c>
      <c r="E11" s="98">
        <f>VLOOKUP($C11,Px!$B$13:$N$16,10,0)</f>
        <v>52.70422999252493</v>
      </c>
      <c r="F11" s="55">
        <f>Px!M15</f>
        <v>6.1114951746762607</v>
      </c>
      <c r="G11" s="9"/>
      <c r="H11" s="106">
        <f>COPELEC!D7/1000</f>
        <v>29.049563200239433</v>
      </c>
      <c r="I11" s="112">
        <f t="shared" si="3"/>
        <v>1531034.8600878075</v>
      </c>
      <c r="J11" s="113">
        <f t="shared" si="4"/>
        <v>0</v>
      </c>
      <c r="K11" s="113"/>
      <c r="L11" s="114">
        <f t="shared" si="5"/>
        <v>177536.26532471637</v>
      </c>
    </row>
    <row r="12" spans="1:15" x14ac:dyDescent="0.25">
      <c r="A12" t="s">
        <v>44</v>
      </c>
      <c r="B12" t="s">
        <v>10</v>
      </c>
      <c r="C12" s="8" t="s">
        <v>77</v>
      </c>
      <c r="D12" s="16">
        <f>VLOOKUP($C12,Px!$B$13:$N$16,9,0)</f>
        <v>5405.3343658951753</v>
      </c>
      <c r="E12" s="98">
        <f>VLOOKUP($C12,Px!$B$13:$N$16,10,0)</f>
        <v>52.045427117618367</v>
      </c>
      <c r="F12" s="55">
        <v>6.1114951746762607</v>
      </c>
      <c r="G12" s="9"/>
      <c r="H12" s="106">
        <f>COPELEC!M7/1000</f>
        <v>0.97185767706739379</v>
      </c>
      <c r="I12" s="112">
        <f t="shared" si="3"/>
        <v>50580.747900508934</v>
      </c>
      <c r="J12" s="113">
        <f t="shared" si="4"/>
        <v>0</v>
      </c>
      <c r="K12" s="113"/>
      <c r="L12" s="114">
        <f t="shared" si="5"/>
        <v>5939.5035038694568</v>
      </c>
    </row>
    <row r="13" spans="1:15" x14ac:dyDescent="0.25">
      <c r="A13" t="s">
        <v>44</v>
      </c>
      <c r="B13" t="s">
        <v>11</v>
      </c>
      <c r="C13" s="8" t="s">
        <v>42</v>
      </c>
      <c r="D13" s="16">
        <f>VLOOKUP($C13,Px!$B$13:$N$16,9,0)</f>
        <v>5509.8291676733552</v>
      </c>
      <c r="E13" s="98">
        <f>VLOOKUP($C13,Px!$B$13:$N$16,10,0)</f>
        <v>50.285019435491002</v>
      </c>
      <c r="F13" s="55">
        <f>Px!N13</f>
        <v>6.4146553735900778</v>
      </c>
      <c r="G13" s="9">
        <f>COPELEC!V8/1000</f>
        <v>3.4615410241128641</v>
      </c>
      <c r="H13" s="106">
        <f>COPELEC!K8/1000</f>
        <v>498.87241191639419</v>
      </c>
      <c r="I13" s="112">
        <f t="shared" si="0"/>
        <v>25085808.929046154</v>
      </c>
      <c r="J13" s="113">
        <f t="shared" si="1"/>
        <v>19072499.699754957</v>
      </c>
      <c r="K13" s="113"/>
      <c r="L13" s="114">
        <f t="shared" si="2"/>
        <v>3200094.5978353405</v>
      </c>
    </row>
    <row r="14" spans="1:15" x14ac:dyDescent="0.25">
      <c r="A14" t="s">
        <v>44</v>
      </c>
      <c r="B14" t="s">
        <v>11</v>
      </c>
      <c r="C14" s="8" t="s">
        <v>43</v>
      </c>
      <c r="D14" s="16">
        <f>VLOOKUP($C14,Px!$B$13:$N$16,9,0)</f>
        <v>5629.0895392680159</v>
      </c>
      <c r="E14" s="98">
        <f>VLOOKUP($C14,Px!$B$13:$N$16,10,0)</f>
        <v>50.366019788963115</v>
      </c>
      <c r="F14" s="55">
        <f>Px!N14</f>
        <v>6.4146553735900778</v>
      </c>
      <c r="G14" s="9">
        <f>COPELEC!U8/1000</f>
        <v>0.10867943159731851</v>
      </c>
      <c r="H14" s="106">
        <f>COPELEC!H8/1000</f>
        <v>15.662726453040387</v>
      </c>
      <c r="I14" s="112">
        <f t="shared" si="0"/>
        <v>788869.19048294821</v>
      </c>
      <c r="J14" s="113">
        <f t="shared" si="1"/>
        <v>611766.25153805944</v>
      </c>
      <c r="K14" s="113"/>
      <c r="L14" s="114">
        <f t="shared" si="2"/>
        <v>100470.99240706697</v>
      </c>
    </row>
    <row r="15" spans="1:15" x14ac:dyDescent="0.25">
      <c r="A15" t="s">
        <v>44</v>
      </c>
      <c r="B15" t="s">
        <v>11</v>
      </c>
      <c r="C15" s="8" t="s">
        <v>16</v>
      </c>
      <c r="D15" s="16">
        <f>VLOOKUP($C15,Px!$B$13:$N$16,9,0)</f>
        <v>5699.5099491620076</v>
      </c>
      <c r="E15" s="98">
        <f>VLOOKUP($C15,Px!$B$13:$N$16,10,0)</f>
        <v>52.70422999252493</v>
      </c>
      <c r="F15" s="55">
        <f>Px!N15</f>
        <v>6.4146553735900778</v>
      </c>
      <c r="G15" s="9">
        <f>COPELEC!T8/1000</f>
        <v>0.1248002389340563</v>
      </c>
      <c r="H15" s="106">
        <f>COPELEC!E8/1000</f>
        <v>17.986034477442313</v>
      </c>
      <c r="I15" s="112">
        <f>H15*E15*1000</f>
        <v>947940.09775260254</v>
      </c>
      <c r="J15" s="113">
        <f>G15*D15*1000</f>
        <v>711300.2034624496</v>
      </c>
      <c r="K15" s="113"/>
      <c r="L15" s="114">
        <f>H15*F15*1000</f>
        <v>115374.21271030174</v>
      </c>
    </row>
    <row r="16" spans="1:15" x14ac:dyDescent="0.25">
      <c r="A16" t="s">
        <v>44</v>
      </c>
      <c r="B16" t="s">
        <v>11</v>
      </c>
      <c r="C16" t="s">
        <v>77</v>
      </c>
      <c r="D16" s="102">
        <f>VLOOKUP($C16,Px!$B$13:$N$16,9,0)</f>
        <v>5405.3343658951753</v>
      </c>
      <c r="E16" s="103">
        <f>VLOOKUP($C16,Px!$B$13:$N$16,10,0)</f>
        <v>52.045427117618367</v>
      </c>
      <c r="F16" s="104">
        <v>6.4146553735900778</v>
      </c>
      <c r="G16" s="100">
        <f>COPELEC!W8/1000</f>
        <v>4.1167308642102891E-3</v>
      </c>
      <c r="H16" s="101">
        <f>COPELEC!N8/1000</f>
        <v>0.59329744790922556</v>
      </c>
      <c r="I16" s="107">
        <f>H16*E16*1000</f>
        <v>30878.419084228579</v>
      </c>
      <c r="J16" s="108">
        <f>G16*D16*1000</f>
        <v>22252.306815457221</v>
      </c>
      <c r="K16" s="108"/>
      <c r="L16" s="108">
        <f>H16*F16*1000</f>
        <v>3805.7986623681932</v>
      </c>
      <c r="M16" s="115"/>
    </row>
    <row r="17" spans="1:15" ht="15" x14ac:dyDescent="0.25">
      <c r="A17" s="18"/>
      <c r="B17" s="18"/>
      <c r="C17" s="18"/>
      <c r="D17" s="18"/>
      <c r="E17" s="52"/>
      <c r="F17" s="99" t="s">
        <v>12</v>
      </c>
      <c r="G17" s="135">
        <f>SUM(G5:G16)</f>
        <v>3.6991374255084488</v>
      </c>
      <c r="H17" s="133">
        <f t="shared" ref="H17:K17" si="6">SUM(H5:H16)</f>
        <v>1971.9125491741461</v>
      </c>
      <c r="I17" s="132">
        <f>SUM(I5:I16)</f>
        <v>99327227.311866462</v>
      </c>
      <c r="J17" s="132">
        <f>SUM(J5:J16)</f>
        <v>20417818.461570922</v>
      </c>
      <c r="K17" s="132">
        <f t="shared" si="6"/>
        <v>0</v>
      </c>
      <c r="L17" s="134">
        <f>SUM(L5:L16)</f>
        <v>10186855.772821357</v>
      </c>
    </row>
    <row r="19" spans="1:15" x14ac:dyDescent="0.25">
      <c r="E19" s="11" t="s">
        <v>74</v>
      </c>
      <c r="F19" t="s">
        <v>75</v>
      </c>
    </row>
    <row r="23" spans="1:15" ht="15" x14ac:dyDescent="0.25">
      <c r="I23" s="78"/>
    </row>
    <row r="28" spans="1:15" x14ac:dyDescent="0.25">
      <c r="N28" s="15"/>
      <c r="O28" s="15"/>
    </row>
    <row r="30" spans="1:15" s="15" customFormat="1" ht="20.25" customHeight="1" x14ac:dyDescent="0.25">
      <c r="N30"/>
      <c r="O30"/>
    </row>
    <row r="32" spans="1:15" x14ac:dyDescent="0.25">
      <c r="I32" s="12"/>
      <c r="J32" s="12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AA8"/>
  <sheetViews>
    <sheetView workbookViewId="0">
      <selection activeCell="L6" sqref="L6"/>
    </sheetView>
  </sheetViews>
  <sheetFormatPr baseColWidth="10" defaultRowHeight="13.5" x14ac:dyDescent="0.25"/>
  <cols>
    <col min="1" max="1" width="21" bestFit="1" customWidth="1"/>
    <col min="16" max="16" width="13.85546875" bestFit="1" customWidth="1"/>
    <col min="19" max="19" width="9.42578125" bestFit="1" customWidth="1"/>
    <col min="20" max="20" width="14.28515625" bestFit="1" customWidth="1"/>
    <col min="24" max="26" width="3.7109375" customWidth="1"/>
  </cols>
  <sheetData>
    <row r="2" spans="1:27" ht="14.25" thickBot="1" x14ac:dyDescent="0.3"/>
    <row r="3" spans="1:27" ht="15.75" thickBot="1" x14ac:dyDescent="0.3">
      <c r="A3" s="34" t="s">
        <v>45</v>
      </c>
      <c r="B3" s="34" t="s">
        <v>78</v>
      </c>
      <c r="C3" s="146" t="s">
        <v>46</v>
      </c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8"/>
      <c r="P3" s="146" t="s">
        <v>24</v>
      </c>
      <c r="Q3" s="147"/>
      <c r="R3" s="147"/>
      <c r="S3" s="147"/>
      <c r="T3" s="147"/>
      <c r="U3" s="147"/>
      <c r="V3" s="147"/>
      <c r="W3" s="148"/>
      <c r="Z3" s="35"/>
      <c r="AA3" s="36"/>
    </row>
    <row r="4" spans="1:27" ht="15.75" thickBot="1" x14ac:dyDescent="0.3">
      <c r="C4" s="149" t="s">
        <v>16</v>
      </c>
      <c r="D4" s="149"/>
      <c r="E4" s="149"/>
      <c r="F4" s="149" t="s">
        <v>43</v>
      </c>
      <c r="G4" s="149"/>
      <c r="H4" s="149"/>
      <c r="I4" s="149" t="s">
        <v>42</v>
      </c>
      <c r="J4" s="149"/>
      <c r="K4" s="149"/>
      <c r="L4" s="149" t="s">
        <v>77</v>
      </c>
      <c r="M4" s="149"/>
      <c r="N4" s="149"/>
      <c r="O4" s="150" t="s">
        <v>47</v>
      </c>
      <c r="P4" s="146" t="s">
        <v>48</v>
      </c>
      <c r="Q4" s="147"/>
      <c r="R4" s="147"/>
      <c r="S4" s="148"/>
      <c r="T4" s="146" t="s">
        <v>49</v>
      </c>
      <c r="U4" s="147"/>
      <c r="V4" s="147"/>
      <c r="W4" s="148"/>
      <c r="AA4" s="37"/>
    </row>
    <row r="5" spans="1:27" ht="15.75" thickBot="1" x14ac:dyDescent="0.3">
      <c r="A5" s="38" t="s">
        <v>51</v>
      </c>
      <c r="B5" s="39" t="s">
        <v>52</v>
      </c>
      <c r="C5" s="40" t="s">
        <v>39</v>
      </c>
      <c r="D5" s="41" t="s">
        <v>40</v>
      </c>
      <c r="E5" s="42" t="s">
        <v>41</v>
      </c>
      <c r="F5" s="40" t="s">
        <v>39</v>
      </c>
      <c r="G5" s="41" t="s">
        <v>40</v>
      </c>
      <c r="H5" s="42" t="s">
        <v>41</v>
      </c>
      <c r="I5" s="40" t="s">
        <v>39</v>
      </c>
      <c r="J5" s="41" t="s">
        <v>40</v>
      </c>
      <c r="K5" s="42" t="s">
        <v>41</v>
      </c>
      <c r="L5" s="40" t="s">
        <v>39</v>
      </c>
      <c r="M5" s="41" t="s">
        <v>40</v>
      </c>
      <c r="N5" s="42" t="s">
        <v>41</v>
      </c>
      <c r="O5" s="151"/>
      <c r="P5" s="43" t="s">
        <v>16</v>
      </c>
      <c r="Q5" s="43" t="s">
        <v>43</v>
      </c>
      <c r="R5" s="43" t="s">
        <v>42</v>
      </c>
      <c r="S5" s="44" t="s">
        <v>77</v>
      </c>
      <c r="T5" s="43" t="s">
        <v>16</v>
      </c>
      <c r="U5" s="44" t="s">
        <v>43</v>
      </c>
      <c r="V5" s="44" t="s">
        <v>42</v>
      </c>
      <c r="W5" s="44" t="s">
        <v>77</v>
      </c>
      <c r="AA5" s="37"/>
    </row>
    <row r="6" spans="1:27" ht="15" x14ac:dyDescent="0.25">
      <c r="A6" s="45" t="s">
        <v>53</v>
      </c>
      <c r="B6" s="46" t="s">
        <v>54</v>
      </c>
      <c r="C6" s="74">
        <v>19493.072706602743</v>
      </c>
      <c r="D6" s="75">
        <v>0</v>
      </c>
      <c r="E6" s="75">
        <v>0</v>
      </c>
      <c r="F6" s="75">
        <v>17114.142911053987</v>
      </c>
      <c r="G6" s="75">
        <v>0</v>
      </c>
      <c r="H6" s="75">
        <v>0</v>
      </c>
      <c r="I6" s="75">
        <v>539607.31981089979</v>
      </c>
      <c r="J6" s="75">
        <v>0</v>
      </c>
      <c r="K6" s="76">
        <v>0</v>
      </c>
      <c r="L6" s="75">
        <v>655.56216730646872</v>
      </c>
      <c r="M6" s="75">
        <v>0</v>
      </c>
      <c r="N6" s="76">
        <v>0</v>
      </c>
      <c r="O6" s="73">
        <v>576870.09759586293</v>
      </c>
      <c r="P6" s="47">
        <v>0</v>
      </c>
      <c r="Q6" s="48">
        <v>0</v>
      </c>
      <c r="R6" s="48">
        <v>0</v>
      </c>
      <c r="S6" s="48">
        <v>0</v>
      </c>
      <c r="T6" s="49">
        <v>0</v>
      </c>
      <c r="U6" s="49">
        <v>0</v>
      </c>
      <c r="V6" s="49">
        <v>0</v>
      </c>
      <c r="W6" s="49">
        <v>0</v>
      </c>
      <c r="X6" s="50"/>
      <c r="AA6" s="51"/>
    </row>
    <row r="7" spans="1:27" ht="15" x14ac:dyDescent="0.25">
      <c r="A7" s="45" t="s">
        <v>53</v>
      </c>
      <c r="B7" s="46" t="s">
        <v>55</v>
      </c>
      <c r="C7" s="74">
        <v>0</v>
      </c>
      <c r="D7" s="75">
        <v>29049.563200239434</v>
      </c>
      <c r="E7" s="75">
        <v>0</v>
      </c>
      <c r="F7" s="75">
        <v>0</v>
      </c>
      <c r="G7" s="75">
        <v>25373.766204243551</v>
      </c>
      <c r="H7" s="75">
        <v>0</v>
      </c>
      <c r="I7" s="75">
        <v>0</v>
      </c>
      <c r="J7" s="75">
        <v>806532.7942019467</v>
      </c>
      <c r="K7" s="76">
        <v>0</v>
      </c>
      <c r="L7" s="75">
        <v>0</v>
      </c>
      <c r="M7" s="75">
        <v>971.85767706739375</v>
      </c>
      <c r="N7" s="76">
        <v>0</v>
      </c>
      <c r="O7" s="73">
        <v>861927.98128349707</v>
      </c>
      <c r="P7" s="47">
        <v>0</v>
      </c>
      <c r="Q7" s="48">
        <v>0</v>
      </c>
      <c r="R7" s="48">
        <v>0</v>
      </c>
      <c r="S7" s="48">
        <v>0</v>
      </c>
      <c r="T7" s="49">
        <v>0</v>
      </c>
      <c r="U7" s="49">
        <v>0</v>
      </c>
      <c r="V7" s="49">
        <v>0</v>
      </c>
      <c r="W7" s="49">
        <v>0</v>
      </c>
      <c r="X7" s="50"/>
      <c r="AA7" s="51"/>
    </row>
    <row r="8" spans="1:27" ht="15" x14ac:dyDescent="0.25">
      <c r="A8" s="45" t="s">
        <v>53</v>
      </c>
      <c r="B8" s="46" t="s">
        <v>56</v>
      </c>
      <c r="C8" s="74">
        <v>0</v>
      </c>
      <c r="D8" s="75">
        <v>0</v>
      </c>
      <c r="E8" s="75">
        <v>17986.034477442314</v>
      </c>
      <c r="F8" s="75">
        <v>0</v>
      </c>
      <c r="G8" s="75">
        <v>0</v>
      </c>
      <c r="H8" s="75">
        <v>15662.726453040386</v>
      </c>
      <c r="I8" s="75">
        <v>0</v>
      </c>
      <c r="J8" s="75">
        <v>0</v>
      </c>
      <c r="K8" s="76">
        <v>498872.41191639419</v>
      </c>
      <c r="L8" s="75">
        <v>0</v>
      </c>
      <c r="M8" s="75">
        <v>0</v>
      </c>
      <c r="N8" s="76">
        <v>593.29744790922553</v>
      </c>
      <c r="O8" s="73">
        <v>533114.47029478615</v>
      </c>
      <c r="P8" s="47">
        <v>3.8008119426941283E-3</v>
      </c>
      <c r="Q8" s="48">
        <v>3.3098500857723645E-3</v>
      </c>
      <c r="R8" s="48">
        <v>0.10542180509386478</v>
      </c>
      <c r="S8" s="48">
        <v>1.2537572016841833E-4</v>
      </c>
      <c r="T8" s="49">
        <v>124.8002389340563</v>
      </c>
      <c r="U8" s="49">
        <v>108.67943159731851</v>
      </c>
      <c r="V8" s="49">
        <v>3461.5410241128643</v>
      </c>
      <c r="W8" s="49">
        <v>4.1167308642102896</v>
      </c>
      <c r="X8" s="50"/>
      <c r="AA8" s="51"/>
    </row>
  </sheetData>
  <mergeCells count="9">
    <mergeCell ref="T4:W4"/>
    <mergeCell ref="P4:S4"/>
    <mergeCell ref="P3:W3"/>
    <mergeCell ref="C3:O3"/>
    <mergeCell ref="C4:E4"/>
    <mergeCell ref="F4:H4"/>
    <mergeCell ref="I4:K4"/>
    <mergeCell ref="O4:O5"/>
    <mergeCell ref="L4:N4"/>
  </mergeCells>
  <conditionalFormatting sqref="A5:W8 A3:P4 T4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7A16-766D-4274-84E1-281E3204E567}">
  <sheetPr codeName="Hoja2"/>
  <dimension ref="A2:U27"/>
  <sheetViews>
    <sheetView zoomScaleNormal="100" workbookViewId="0">
      <selection activeCell="J13" sqref="J13:J16"/>
    </sheetView>
  </sheetViews>
  <sheetFormatPr baseColWidth="10" defaultRowHeight="13.5" x14ac:dyDescent="0.25"/>
  <cols>
    <col min="1" max="1" width="17.7109375" bestFit="1" customWidth="1"/>
    <col min="2" max="2" width="13" bestFit="1" customWidth="1"/>
    <col min="3" max="3" width="20.140625" bestFit="1" customWidth="1"/>
    <col min="4" max="4" width="24.28515625" bestFit="1" customWidth="1"/>
    <col min="5" max="5" width="15" customWidth="1"/>
    <col min="6" max="6" width="15.140625" customWidth="1"/>
    <col min="7" max="7" width="18.7109375" bestFit="1" customWidth="1"/>
    <col min="8" max="8" width="15.28515625" customWidth="1"/>
    <col min="9" max="9" width="13.42578125" bestFit="1" customWidth="1"/>
    <col min="10" max="10" width="12" bestFit="1" customWidth="1"/>
    <col min="14" max="14" width="14.85546875" bestFit="1" customWidth="1"/>
    <col min="16" max="16" width="22" bestFit="1" customWidth="1"/>
  </cols>
  <sheetData>
    <row r="2" spans="1:15" x14ac:dyDescent="0.25">
      <c r="A2" s="19" t="s">
        <v>18</v>
      </c>
      <c r="B2" s="20"/>
      <c r="C2" s="20" t="s">
        <v>19</v>
      </c>
      <c r="D2" s="21" t="s">
        <v>20</v>
      </c>
      <c r="E2" s="22"/>
      <c r="F2" s="22"/>
      <c r="G2" s="22"/>
    </row>
    <row r="3" spans="1:15" x14ac:dyDescent="0.25">
      <c r="A3" s="23" t="s">
        <v>21</v>
      </c>
      <c r="B3" s="22" t="s">
        <v>22</v>
      </c>
      <c r="C3" s="22">
        <v>79.322000000000003</v>
      </c>
      <c r="D3" s="24" t="s">
        <v>23</v>
      </c>
      <c r="E3" s="93"/>
      <c r="F3" s="22"/>
      <c r="G3" s="92"/>
    </row>
    <row r="4" spans="1:15" x14ac:dyDescent="0.25">
      <c r="A4" s="25" t="s">
        <v>24</v>
      </c>
      <c r="B4" s="26" t="s">
        <v>25</v>
      </c>
      <c r="C4" s="26">
        <v>8.3592999999999993</v>
      </c>
      <c r="D4" s="27" t="s">
        <v>23</v>
      </c>
      <c r="E4" s="93"/>
      <c r="F4" s="22"/>
      <c r="G4" s="92"/>
      <c r="H4" s="61" t="s">
        <v>84</v>
      </c>
      <c r="I4" s="61" t="s">
        <v>83</v>
      </c>
    </row>
    <row r="5" spans="1:15" x14ac:dyDescent="0.25">
      <c r="A5" s="19" t="s">
        <v>18</v>
      </c>
      <c r="B5" s="20"/>
      <c r="C5" s="20" t="s">
        <v>19</v>
      </c>
      <c r="D5" s="21" t="s">
        <v>20</v>
      </c>
      <c r="E5" s="22"/>
      <c r="F5" s="22"/>
      <c r="G5" s="19" t="s">
        <v>76</v>
      </c>
      <c r="H5" s="117">
        <v>3.3449466699414958</v>
      </c>
      <c r="I5" s="118">
        <v>3.37</v>
      </c>
      <c r="J5">
        <f>H5*C6/1000*D13</f>
        <v>2.427405962564682</v>
      </c>
    </row>
    <row r="6" spans="1:15" x14ac:dyDescent="0.25">
      <c r="A6" s="23" t="s">
        <v>26</v>
      </c>
      <c r="B6" s="22"/>
      <c r="C6" s="22">
        <v>779.31</v>
      </c>
      <c r="D6" s="24" t="s">
        <v>86</v>
      </c>
      <c r="E6" s="22"/>
      <c r="F6" s="22"/>
      <c r="G6" s="88" t="s">
        <v>72</v>
      </c>
      <c r="H6" s="119">
        <v>0.87534183766412499</v>
      </c>
      <c r="I6" s="129">
        <v>0.83829503674262562</v>
      </c>
    </row>
    <row r="7" spans="1:15" x14ac:dyDescent="0.25">
      <c r="A7" s="23" t="s">
        <v>27</v>
      </c>
      <c r="B7" s="22"/>
      <c r="C7" s="128">
        <v>257.13600000000002</v>
      </c>
      <c r="D7" s="24"/>
      <c r="E7" s="22"/>
      <c r="F7" s="22"/>
      <c r="G7" s="89" t="s">
        <v>73</v>
      </c>
      <c r="H7" s="120">
        <v>0.913295382872503</v>
      </c>
      <c r="I7" s="130">
        <v>0.80379824892460383</v>
      </c>
      <c r="O7" s="72"/>
    </row>
    <row r="8" spans="1:15" x14ac:dyDescent="0.25">
      <c r="A8" s="23" t="s">
        <v>28</v>
      </c>
      <c r="B8" s="22"/>
      <c r="C8" s="28">
        <v>237.09</v>
      </c>
      <c r="D8" s="29" t="s">
        <v>29</v>
      </c>
      <c r="E8" s="22"/>
      <c r="F8" s="22"/>
      <c r="G8" s="22"/>
      <c r="O8" s="72"/>
    </row>
    <row r="9" spans="1:15" x14ac:dyDescent="0.25">
      <c r="A9" s="25" t="s">
        <v>30</v>
      </c>
      <c r="B9" s="26"/>
      <c r="C9" s="30"/>
      <c r="D9" s="31" t="s">
        <v>68</v>
      </c>
      <c r="E9" s="22"/>
      <c r="F9" s="22"/>
      <c r="G9" s="22"/>
      <c r="O9" s="72"/>
    </row>
    <row r="10" spans="1:15" x14ac:dyDescent="0.25">
      <c r="A10" s="22"/>
      <c r="B10" s="22"/>
      <c r="C10" s="22"/>
      <c r="D10" s="22"/>
      <c r="E10" s="22"/>
      <c r="F10" s="22"/>
      <c r="G10" s="22"/>
    </row>
    <row r="11" spans="1:15" x14ac:dyDescent="0.25">
      <c r="A11" s="56"/>
      <c r="B11" s="56"/>
      <c r="C11" s="57"/>
      <c r="D11" s="56"/>
      <c r="E11" s="56"/>
      <c r="F11" s="56"/>
      <c r="G11" s="56"/>
      <c r="H11" s="58"/>
      <c r="I11" s="86"/>
      <c r="J11" s="58"/>
      <c r="L11" s="59" t="s">
        <v>9</v>
      </c>
      <c r="M11" s="59" t="s">
        <v>10</v>
      </c>
      <c r="N11" s="60" t="s">
        <v>11</v>
      </c>
    </row>
    <row r="12" spans="1:15" ht="25.5" x14ac:dyDescent="0.25">
      <c r="A12" s="61" t="s">
        <v>58</v>
      </c>
      <c r="B12" s="61" t="s">
        <v>31</v>
      </c>
      <c r="C12" s="61" t="s">
        <v>59</v>
      </c>
      <c r="D12" s="61" t="s">
        <v>32</v>
      </c>
      <c r="E12" s="61" t="s">
        <v>71</v>
      </c>
      <c r="F12" s="61" t="s">
        <v>33</v>
      </c>
      <c r="G12" s="61" t="s">
        <v>34</v>
      </c>
      <c r="H12" s="61" t="s">
        <v>35</v>
      </c>
      <c r="I12" s="61" t="s">
        <v>36</v>
      </c>
      <c r="J12" s="94" t="s">
        <v>36</v>
      </c>
      <c r="K12" s="96" t="s">
        <v>60</v>
      </c>
      <c r="L12" s="61" t="s">
        <v>61</v>
      </c>
      <c r="M12" s="61" t="s">
        <v>62</v>
      </c>
      <c r="N12" s="62" t="s">
        <v>63</v>
      </c>
    </row>
    <row r="13" spans="1:15" x14ac:dyDescent="0.25">
      <c r="A13" s="22" t="s">
        <v>64</v>
      </c>
      <c r="B13" s="22" t="s">
        <v>42</v>
      </c>
      <c r="C13" s="63" t="s">
        <v>65</v>
      </c>
      <c r="D13" s="64">
        <v>0.93120000000000003</v>
      </c>
      <c r="E13" s="64">
        <v>0.97019999999999995</v>
      </c>
      <c r="F13" s="65">
        <f>($C$3*$C$7/$C$8-$I$5)*D13</f>
        <v>76.971770870768083</v>
      </c>
      <c r="G13" s="65">
        <f>$C$4*$C$7/$C$8*E13</f>
        <v>8.7959110517059358</v>
      </c>
      <c r="H13" s="65">
        <f>F13*$C$6/1000</f>
        <v>59.984870757298268</v>
      </c>
      <c r="I13" s="87">
        <f>G13*$C$6</f>
        <v>6854.7414417049522</v>
      </c>
      <c r="J13" s="131">
        <f>I13*$I$7</f>
        <v>5509.8291676733552</v>
      </c>
      <c r="K13" s="66">
        <f>H13*$I$6</f>
        <v>50.285019435491002</v>
      </c>
      <c r="L13" s="67">
        <v>2.5992705791524648</v>
      </c>
      <c r="M13" s="67">
        <v>6.1114951746762607</v>
      </c>
      <c r="N13" s="66">
        <v>6.4146553735900778</v>
      </c>
    </row>
    <row r="14" spans="1:15" x14ac:dyDescent="0.25">
      <c r="A14" s="22" t="s">
        <v>64</v>
      </c>
      <c r="B14" s="22" t="s">
        <v>43</v>
      </c>
      <c r="C14" s="63" t="s">
        <v>66</v>
      </c>
      <c r="D14" s="64">
        <v>0.93269999999999997</v>
      </c>
      <c r="E14" s="64">
        <v>0.99119999999999997</v>
      </c>
      <c r="F14" s="65">
        <f t="shared" ref="F14:F16" si="0">($C$3*$C$7/$C$8-$I$5)*D14</f>
        <v>77.09575890374289</v>
      </c>
      <c r="G14" s="65">
        <f t="shared" ref="G14:G15" si="1">$C$4*$C$7/$C$8*E14</f>
        <v>8.9862987368077949</v>
      </c>
      <c r="H14" s="65">
        <f t="shared" ref="H14:H15" si="2">F14*$C$6/1000</f>
        <v>60.08149587127587</v>
      </c>
      <c r="I14" s="87">
        <f t="shared" ref="I14:I15" si="3">G14*$C$6</f>
        <v>7003.1124685816822</v>
      </c>
      <c r="J14" s="131">
        <f t="shared" ref="J14:J16" si="4">I14*$I$7</f>
        <v>5629.0895392680159</v>
      </c>
      <c r="K14" s="66">
        <f t="shared" ref="K14:K16" si="5">H14*$I$6</f>
        <v>50.366019788963115</v>
      </c>
      <c r="L14" s="67">
        <v>2.5992705791524648</v>
      </c>
      <c r="M14" s="67">
        <v>6.1114951746762607</v>
      </c>
      <c r="N14" s="66">
        <v>6.4146553735900778</v>
      </c>
    </row>
    <row r="15" spans="1:15" x14ac:dyDescent="0.25">
      <c r="A15" s="22" t="s">
        <v>64</v>
      </c>
      <c r="B15" s="22" t="s">
        <v>16</v>
      </c>
      <c r="C15" s="63" t="s">
        <v>67</v>
      </c>
      <c r="D15" s="64">
        <v>0.97599999999999998</v>
      </c>
      <c r="E15" s="64">
        <v>1.0036</v>
      </c>
      <c r="F15" s="65">
        <f t="shared" si="0"/>
        <v>80.674880122282687</v>
      </c>
      <c r="G15" s="65">
        <f t="shared" si="1"/>
        <v>9.0987181318203234</v>
      </c>
      <c r="H15" s="65">
        <f t="shared" si="2"/>
        <v>62.870740828096118</v>
      </c>
      <c r="I15" s="87">
        <f t="shared" si="3"/>
        <v>7090.722027308896</v>
      </c>
      <c r="J15" s="131">
        <f t="shared" si="4"/>
        <v>5699.5099491620076</v>
      </c>
      <c r="K15" s="66">
        <f t="shared" si="5"/>
        <v>52.70422999252493</v>
      </c>
      <c r="L15" s="67">
        <v>2.5992705791524648</v>
      </c>
      <c r="M15" s="67">
        <v>6.1114951746762607</v>
      </c>
      <c r="N15" s="66">
        <v>6.4146553735900778</v>
      </c>
    </row>
    <row r="16" spans="1:15" x14ac:dyDescent="0.25">
      <c r="A16" s="22" t="s">
        <v>64</v>
      </c>
      <c r="B16" s="22" t="s">
        <v>77</v>
      </c>
      <c r="C16" s="63" t="s">
        <v>79</v>
      </c>
      <c r="D16" s="64">
        <v>0.96379999999999999</v>
      </c>
      <c r="E16" s="64">
        <v>0.95179999999999998</v>
      </c>
      <c r="F16" s="65">
        <f t="shared" si="0"/>
        <v>79.66644412075415</v>
      </c>
      <c r="G16" s="65">
        <f>$C$4*$C$7/$C$8*E16</f>
        <v>8.6290951752357348</v>
      </c>
      <c r="H16" s="65">
        <f>F16*$C$6/1000</f>
        <v>62.084856567744914</v>
      </c>
      <c r="I16" s="87">
        <f>G16*$C$6</f>
        <v>6724.74016101296</v>
      </c>
      <c r="J16" s="131">
        <f t="shared" si="4"/>
        <v>5405.3343658951753</v>
      </c>
      <c r="K16" s="66">
        <f t="shared" si="5"/>
        <v>52.045427117618367</v>
      </c>
      <c r="L16" s="67">
        <v>2.5992705791524648</v>
      </c>
      <c r="M16" s="67">
        <v>6.1114951746762607</v>
      </c>
      <c r="N16" s="66">
        <v>6.4146553735900778</v>
      </c>
    </row>
    <row r="17" spans="1:21" x14ac:dyDescent="0.25">
      <c r="E17" s="72"/>
      <c r="I17" s="72"/>
    </row>
    <row r="18" spans="1:21" x14ac:dyDescent="0.25">
      <c r="E18" s="72"/>
      <c r="I18" s="72"/>
    </row>
    <row r="19" spans="1:21" x14ac:dyDescent="0.25">
      <c r="D19" s="64"/>
      <c r="E19" s="72"/>
      <c r="F19" s="65"/>
      <c r="H19" s="65"/>
      <c r="I19" s="72"/>
      <c r="K19" s="66"/>
    </row>
    <row r="20" spans="1:21" x14ac:dyDescent="0.25">
      <c r="S20">
        <v>86.028999999999996</v>
      </c>
      <c r="U20">
        <v>54</v>
      </c>
    </row>
    <row r="21" spans="1:21" x14ac:dyDescent="0.25">
      <c r="A21" s="124"/>
      <c r="B21" s="124"/>
      <c r="P21" t="s">
        <v>72</v>
      </c>
      <c r="Q21">
        <v>0.83799999999999997</v>
      </c>
      <c r="U21">
        <v>5679.0649999999996</v>
      </c>
    </row>
    <row r="22" spans="1:21" x14ac:dyDescent="0.25">
      <c r="A22" s="124"/>
      <c r="B22" s="124"/>
      <c r="C22" s="152" t="s">
        <v>85</v>
      </c>
      <c r="D22" s="153"/>
      <c r="E22" s="154" t="s">
        <v>82</v>
      </c>
      <c r="F22" s="155"/>
      <c r="L22" s="116"/>
      <c r="P22" t="s">
        <v>73</v>
      </c>
      <c r="Q22">
        <v>0.80400000000000005</v>
      </c>
    </row>
    <row r="23" spans="1:21" x14ac:dyDescent="0.25">
      <c r="A23" s="125" t="s">
        <v>58</v>
      </c>
      <c r="B23" s="126" t="s">
        <v>31</v>
      </c>
      <c r="C23" s="125" t="s">
        <v>36</v>
      </c>
      <c r="D23" s="127" t="s">
        <v>60</v>
      </c>
      <c r="E23" s="125" t="s">
        <v>36</v>
      </c>
      <c r="F23" s="127" t="s">
        <v>60</v>
      </c>
      <c r="Q23" t="s">
        <v>81</v>
      </c>
      <c r="R23" t="s">
        <v>80</v>
      </c>
    </row>
    <row r="24" spans="1:21" x14ac:dyDescent="0.25">
      <c r="A24" s="23" t="s">
        <v>64</v>
      </c>
      <c r="B24" s="121" t="s">
        <v>42</v>
      </c>
      <c r="C24" s="95">
        <v>5424.7666076670121</v>
      </c>
      <c r="D24" s="66">
        <v>46.626205093684526</v>
      </c>
      <c r="E24" s="95">
        <v>5509.8288629999997</v>
      </c>
      <c r="F24" s="66">
        <v>50.284800000000004</v>
      </c>
      <c r="P24" s="22" t="s">
        <v>42</v>
      </c>
      <c r="Q24">
        <v>0.97019999999999995</v>
      </c>
      <c r="R24">
        <v>0.93120000000000003</v>
      </c>
      <c r="T24">
        <f>Q24*$U$21</f>
        <v>5509.8288629999997</v>
      </c>
      <c r="U24">
        <f>R24*$U$20</f>
        <v>50.284800000000004</v>
      </c>
    </row>
    <row r="25" spans="1:21" x14ac:dyDescent="0.25">
      <c r="A25" s="23" t="s">
        <v>64</v>
      </c>
      <c r="B25" s="121" t="s">
        <v>43</v>
      </c>
      <c r="C25" s="95">
        <v>5609.0922561286625</v>
      </c>
      <c r="D25" s="66">
        <v>47.558729195558215</v>
      </c>
      <c r="E25" s="95">
        <v>5629.0892279999998</v>
      </c>
      <c r="F25" s="66">
        <v>50.3658</v>
      </c>
      <c r="P25" s="22" t="s">
        <v>43</v>
      </c>
      <c r="Q25">
        <v>0.99119999999999997</v>
      </c>
      <c r="R25">
        <v>0.93269999999999997</v>
      </c>
      <c r="T25">
        <f t="shared" ref="T25:T27" si="6">Q25*$U$21</f>
        <v>5629.0892279999998</v>
      </c>
      <c r="U25">
        <f t="shared" ref="U25:U27" si="7">R25*$U$20</f>
        <v>50.3658</v>
      </c>
    </row>
    <row r="26" spans="1:21" x14ac:dyDescent="0.25">
      <c r="A26" s="23" t="s">
        <v>64</v>
      </c>
      <c r="B26" s="121" t="s">
        <v>16</v>
      </c>
      <c r="C26" s="95">
        <v>5716.3777728803343</v>
      </c>
      <c r="D26" s="66">
        <v>49.004889567447897</v>
      </c>
      <c r="E26" s="95">
        <v>5699.509634</v>
      </c>
      <c r="F26" s="66">
        <v>52.704000000000001</v>
      </c>
      <c r="P26" s="22" t="s">
        <v>16</v>
      </c>
      <c r="Q26">
        <v>1.0036</v>
      </c>
      <c r="R26">
        <v>0.97599999999999998</v>
      </c>
      <c r="T26">
        <f t="shared" si="6"/>
        <v>5699.509634</v>
      </c>
      <c r="U26">
        <f t="shared" si="7"/>
        <v>52.704000000000001</v>
      </c>
    </row>
    <row r="27" spans="1:21" x14ac:dyDescent="0.25">
      <c r="A27" s="25" t="s">
        <v>64</v>
      </c>
      <c r="B27" s="26" t="s">
        <v>77</v>
      </c>
      <c r="C27" s="122">
        <v>5440.1746340090076</v>
      </c>
      <c r="D27" s="123">
        <v>49.493592037948545</v>
      </c>
      <c r="E27" s="122">
        <v>5405.3340669999998</v>
      </c>
      <c r="F27" s="123">
        <v>52.045200000000001</v>
      </c>
      <c r="P27" s="22" t="s">
        <v>77</v>
      </c>
      <c r="Q27">
        <v>0.95179999999999998</v>
      </c>
      <c r="R27">
        <v>0.96379999999999999</v>
      </c>
      <c r="T27">
        <f t="shared" si="6"/>
        <v>5405.3340669999998</v>
      </c>
      <c r="U27">
        <f t="shared" si="7"/>
        <v>52.045200000000001</v>
      </c>
    </row>
  </sheetData>
  <mergeCells count="2">
    <mergeCell ref="C22:D22"/>
    <mergeCell ref="E22:F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COPELEC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Sebastián Muci Ovalle</cp:lastModifiedBy>
  <dcterms:created xsi:type="dcterms:W3CDTF">2018-11-16T13:10:45Z</dcterms:created>
  <dcterms:modified xsi:type="dcterms:W3CDTF">2020-08-18T15:30:17Z</dcterms:modified>
</cp:coreProperties>
</file>