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10-oct\"/>
    </mc:Choice>
  </mc:AlternateContent>
  <xr:revisionPtr revIDLastSave="0" documentId="13_ncr:1_{D0813CCC-31C5-4882-9A4E-C2A62C0A4206}" xr6:coauthVersionLast="45" xr6:coauthVersionMax="45" xr10:uidLastSave="{00000000-0000-0000-0000-000000000000}"/>
  <bookViews>
    <workbookView xWindow="-120" yWindow="-120" windowWidth="29040" windowHeight="158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2" l="1"/>
  <c r="F15" i="2"/>
  <c r="F14" i="2"/>
  <c r="F13" i="2"/>
  <c r="K17" i="1" l="1"/>
  <c r="O7" i="1" s="1"/>
  <c r="H13" i="2" l="1"/>
  <c r="K13" i="2" s="1"/>
  <c r="H12" i="1" l="1"/>
  <c r="L12" i="1" s="1"/>
  <c r="H8" i="1"/>
  <c r="L8" i="1" s="1"/>
  <c r="H16" i="1"/>
  <c r="L16" i="1" s="1"/>
  <c r="G16" i="1"/>
  <c r="G16" i="2"/>
  <c r="I16" i="2" s="1"/>
  <c r="J16" i="2" s="1"/>
  <c r="H16" i="2"/>
  <c r="K16" i="2" s="1"/>
  <c r="E16" i="1" l="1"/>
  <c r="I16" i="1" s="1"/>
  <c r="E12" i="1"/>
  <c r="E8" i="1"/>
  <c r="I8" i="1" s="1"/>
  <c r="D16" i="1"/>
  <c r="J16" i="1" s="1"/>
  <c r="D12" i="1"/>
  <c r="J12" i="1" s="1"/>
  <c r="D8" i="1"/>
  <c r="J8" i="1" s="1"/>
  <c r="I12" i="1"/>
  <c r="H14" i="2" l="1"/>
  <c r="K14" i="2" s="1"/>
  <c r="H15" i="2"/>
  <c r="K15" i="2" s="1"/>
  <c r="E15" i="1" l="1"/>
  <c r="E11" i="1"/>
  <c r="E7" i="1"/>
  <c r="E14" i="1"/>
  <c r="G14" i="2"/>
  <c r="I14" i="2" s="1"/>
  <c r="J14" i="2" s="1"/>
  <c r="G15" i="2"/>
  <c r="I15" i="2" s="1"/>
  <c r="J15" i="2" s="1"/>
  <c r="G13" i="2"/>
  <c r="D15" i="1" l="1"/>
  <c r="D11" i="1"/>
  <c r="J11" i="1" s="1"/>
  <c r="D7" i="1"/>
  <c r="D6" i="1"/>
  <c r="D14" i="1"/>
  <c r="D10" i="1"/>
  <c r="J10" i="1" s="1"/>
  <c r="E9" i="1"/>
  <c r="E5" i="1"/>
  <c r="E13" i="1"/>
  <c r="E6" i="1"/>
  <c r="E10" i="1"/>
  <c r="I13" i="2"/>
  <c r="J13" i="2" s="1"/>
  <c r="F13" i="1"/>
  <c r="F14" i="1"/>
  <c r="F15" i="1"/>
  <c r="F9" i="1"/>
  <c r="F10" i="1"/>
  <c r="F11" i="1"/>
  <c r="F5" i="1"/>
  <c r="F6" i="1"/>
  <c r="F7" i="1"/>
  <c r="D13" i="1" l="1"/>
  <c r="D9" i="1"/>
  <c r="J9" i="1" s="1"/>
  <c r="D5" i="1"/>
  <c r="J5" i="1" s="1"/>
  <c r="J6" i="1"/>
  <c r="J7" i="1"/>
  <c r="G15" i="1" l="1"/>
  <c r="J15" i="1" s="1"/>
  <c r="G14" i="1"/>
  <c r="J14" i="1" s="1"/>
  <c r="G13" i="1"/>
  <c r="G17" i="1" s="1"/>
  <c r="H15" i="1"/>
  <c r="I15" i="1" s="1"/>
  <c r="H14" i="1"/>
  <c r="I14" i="1" s="1"/>
  <c r="H13" i="1"/>
  <c r="I13" i="1" s="1"/>
  <c r="H11" i="1"/>
  <c r="H10" i="1"/>
  <c r="H9" i="1"/>
  <c r="H7" i="1"/>
  <c r="I7" i="1" s="1"/>
  <c r="H6" i="1"/>
  <c r="I6" i="1" s="1"/>
  <c r="H5" i="1"/>
  <c r="H17" i="1" l="1"/>
  <c r="L11" i="1"/>
  <c r="I11" i="1"/>
  <c r="I10" i="1"/>
  <c r="L10" i="1"/>
  <c r="L9" i="1"/>
  <c r="I9" i="1"/>
  <c r="I5" i="1"/>
  <c r="L14" i="1"/>
  <c r="L5" i="1"/>
  <c r="L15" i="1"/>
  <c r="L6" i="1"/>
  <c r="L7" i="1"/>
  <c r="L13" i="1"/>
  <c r="J13" i="1"/>
  <c r="J17" i="1" s="1"/>
  <c r="O6" i="1" s="1"/>
  <c r="I17" i="1" l="1"/>
  <c r="O5" i="1" s="1"/>
  <c r="L17" i="1"/>
  <c r="O8" i="1" s="1"/>
  <c r="O9" i="1" s="1"/>
</calcChain>
</file>

<file path=xl/sharedStrings.xml><?xml version="1.0" encoding="utf-8"?>
<sst xmlns="http://schemas.openxmlformats.org/spreadsheetml/2006/main" count="163" uniqueCount="88">
  <si>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</si>
  <si>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</si>
  <si>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</si>
  <si>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</si>
  <si>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</si>
  <si>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</si>
  <si>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</si>
  <si>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</si>
  <si>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</si>
  <si>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</si>
  <si>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</si>
  <si>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</si>
  <si>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</si>
  <si>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</si>
  <si>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</si>
  <si>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</si>
  <si>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</si>
  <si>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</si>
  <si>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</si>
  <si>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</si>
  <si>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</si>
  <si>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</si>
  <si>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</si>
  <si>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</si>
  <si>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</si>
  <si>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</si>
  <si>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</si>
  <si>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</si>
  <si>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</si>
  <si>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</si>
  <si>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</si>
  <si>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</si>
  <si>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</si>
  <si>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</si>
  <si>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</si>
  <si>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</si>
  <si>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</si>
  <si>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</si>
  <si>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</si>
  <si>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</si>
  <si>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</si>
  <si>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</si>
  <si>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</si>
  <si>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</si>
  <si>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</si>
  <si>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</si>
  <si>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</si>
  <si>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</si>
  <si>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</si>
  <si>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</si>
  <si>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</si>
  <si>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</si>
  <si>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</si>
  <si>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</si>
  <si>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</si>
  <si>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</si>
  <si>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</si>
  <si>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</si>
  <si>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</si>
  <si>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</si>
  <si>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</si>
  <si>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</si>
  <si>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</si>
  <si>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</si>
  <si>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</si>
  <si>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</si>
  <si>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</si>
  <si>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</si>
  <si>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9T/2019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</si>
  <si>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</si>
  <si>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</si>
  <si>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</si>
  <si>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</si>
  <si>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</si>
  <si>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</si>
  <si>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</si>
  <si>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</si>
  <si>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Rapel 220</t>
  </si>
  <si>
    <t>Copelec_Rapel 220</t>
  </si>
  <si>
    <t xml:space="preserve"> ITD Julio 2020</t>
  </si>
  <si>
    <t xml:space="preserve"> ITD Enero 2020</t>
  </si>
  <si>
    <t>PNP 2T-20 (abr-20 a sep-20)</t>
  </si>
  <si>
    <t>Conceptos</t>
  </si>
  <si>
    <t xml:space="preserve"> ITD Julio 2020 - Actualización 04/09</t>
  </si>
  <si>
    <t>Septiembre</t>
  </si>
  <si>
    <t xml:space="preserve"> ITD Julio 2020 - Actualización 02/10</t>
  </si>
  <si>
    <t>Active Energy: 1,790,729.3 kWh</t>
  </si>
  <si>
    <t>Capacity: 3,754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</si>
</sst>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2" formatCode="0.0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3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1" fontId="4" fillId="0" borderId="1" xfId="0" applyNumberFormat="1" applyFont="1" applyBorder="1" applyAlignment="1">
      <alignment horizontal="center"/>
    </xf>
    <xf numFmtId="171" fontId="4" fillId="0" borderId="0" xfId="0" applyNumberFormat="1" applyFont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3" applyNumberFormat="1" applyFont="1" applyBorder="1" applyAlignment="1">
      <alignment horizontal="center"/>
    </xf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2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3" borderId="23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2" fontId="0" fillId="0" borderId="1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28" xfId="0" applyNumberFormat="1" applyBorder="1" applyAlignment="1">
      <alignment horizontal="center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171" fontId="2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6" fillId="6" borderId="16" xfId="0" applyFont="1" applyFill="1" applyBorder="1" applyAlignment="1">
      <alignment horizontal="center" vertical="center" wrapText="1"/>
    </xf>
    <xf numFmtId="171" fontId="4" fillId="0" borderId="1" xfId="0" applyNumberFormat="1" applyFont="1" applyFill="1" applyBorder="1" applyAlignment="1">
      <alignment horizontal="center"/>
    </xf>
    <xf numFmtId="171" fontId="2" fillId="3" borderId="8" xfId="0" applyNumberFormat="1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2"/>
  <sheetViews>
    <sheetView tabSelected="1" zoomScale="90" zoomScaleNormal="90" workbookViewId="0">
      <selection activeCell="N23" sqref="N23"/>
    </sheetView>
  </sheetViews>
  <sheetFormatPr baseColWidth="10" defaultRowHeight="13.5" x14ac:dyDescent="0.25"/>
  <cols>
    <col min="2" max="2" width="7.28515625" bestFit="1" customWidth="1"/>
    <col min="3" max="3" width="25.42578125" bestFit="1" customWidth="1"/>
    <col min="4" max="4" width="17.7109375" bestFit="1" customWidth="1"/>
    <col min="5" max="5" width="16.42578125" bestFit="1" customWidth="1"/>
    <col min="6" max="6" width="10.42578125" customWidth="1"/>
    <col min="7" max="7" width="16.42578125" bestFit="1" customWidth="1"/>
    <col min="8" max="8" width="16.140625" customWidth="1"/>
    <col min="9" max="12" width="16.42578125" customWidth="1"/>
    <col min="14" max="14" width="29.5703125" customWidth="1"/>
    <col min="15" max="15" width="19.28515625" customWidth="1"/>
  </cols>
  <sheetData>
    <row r="2" spans="1:15" s="15" customFormat="1" x14ac:dyDescent="0.25">
      <c r="A2" s="77"/>
      <c r="B2" s="77"/>
      <c r="C2" s="90"/>
      <c r="D2" s="91"/>
      <c r="E2" s="77"/>
      <c r="F2" s="70"/>
      <c r="G2" s="70"/>
      <c r="H2" s="71"/>
      <c r="I2" s="127" t="s">
        <v>17</v>
      </c>
      <c r="J2" s="128"/>
      <c r="K2" s="128"/>
      <c r="L2" s="129"/>
    </row>
    <row r="3" spans="1:15" x14ac:dyDescent="0.25">
      <c r="A3" s="130" t="s">
        <v>15</v>
      </c>
      <c r="B3" s="133" t="s">
        <v>0</v>
      </c>
      <c r="C3" s="135" t="s">
        <v>1</v>
      </c>
      <c r="D3" s="81" t="s">
        <v>2</v>
      </c>
      <c r="E3" s="79" t="s">
        <v>3</v>
      </c>
      <c r="F3" s="32" t="s">
        <v>50</v>
      </c>
      <c r="G3" s="1" t="s">
        <v>4</v>
      </c>
      <c r="H3" s="2" t="s">
        <v>5</v>
      </c>
      <c r="I3" s="69" t="s">
        <v>38</v>
      </c>
      <c r="J3" s="68" t="s">
        <v>4</v>
      </c>
      <c r="K3" s="68" t="s">
        <v>37</v>
      </c>
      <c r="L3" s="53" t="s">
        <v>50</v>
      </c>
      <c r="N3" s="132" t="s">
        <v>70</v>
      </c>
      <c r="O3" s="132"/>
    </row>
    <row r="4" spans="1:15" ht="15" x14ac:dyDescent="0.25">
      <c r="A4" s="131"/>
      <c r="B4" s="134"/>
      <c r="C4" s="136"/>
      <c r="D4" s="82" t="s">
        <v>6</v>
      </c>
      <c r="E4" s="80" t="s">
        <v>7</v>
      </c>
      <c r="F4" s="33" t="s">
        <v>57</v>
      </c>
      <c r="G4" s="3" t="s">
        <v>69</v>
      </c>
      <c r="H4" s="4" t="s">
        <v>8</v>
      </c>
      <c r="I4" s="85" t="s">
        <v>14</v>
      </c>
      <c r="J4" s="83" t="s">
        <v>14</v>
      </c>
      <c r="K4" s="83" t="s">
        <v>14</v>
      </c>
      <c r="L4" s="84" t="s">
        <v>14</v>
      </c>
      <c r="N4" s="10" t="s">
        <v>82</v>
      </c>
      <c r="O4" s="10" t="s">
        <v>44</v>
      </c>
    </row>
    <row r="5" spans="1:15" x14ac:dyDescent="0.25">
      <c r="A5" t="s">
        <v>44</v>
      </c>
      <c r="B5" s="5" t="s">
        <v>9</v>
      </c>
      <c r="C5" s="6" t="s">
        <v>42</v>
      </c>
      <c r="D5" s="17">
        <f>VLOOKUP($C5,Px!$B$13:$N$16,9,0)</f>
        <v>5509.8244714785133</v>
      </c>
      <c r="E5" s="96">
        <f>VLOOKUP($C5,Px!$B$13:$N$16,10,0)</f>
        <v>52.752593748816295</v>
      </c>
      <c r="F5" s="54">
        <f>Px!L13</f>
        <v>2.5992705791524648</v>
      </c>
      <c r="G5" s="7"/>
      <c r="H5" s="143">
        <f>COPELEC!I6/1000</f>
        <v>494.59432157793253</v>
      </c>
      <c r="I5" s="106">
        <f t="shared" ref="I5:I14" si="0">H5*E5*1000</f>
        <v>26091133.316672079</v>
      </c>
      <c r="J5" s="107">
        <f t="shared" ref="J5:J14" si="1">G5*D5*1000</f>
        <v>0</v>
      </c>
      <c r="K5" s="107"/>
      <c r="L5" s="108">
        <f t="shared" ref="L5:L14" si="2">H5*F5*1000</f>
        <v>1285584.468693393</v>
      </c>
      <c r="N5" s="11" t="s">
        <v>86</v>
      </c>
      <c r="O5" s="12">
        <f>I17</f>
        <v>94628132.962954089</v>
      </c>
    </row>
    <row r="6" spans="1:15" x14ac:dyDescent="0.25">
      <c r="A6" t="s">
        <v>44</v>
      </c>
      <c r="B6" t="s">
        <v>9</v>
      </c>
      <c r="C6" s="8" t="s">
        <v>43</v>
      </c>
      <c r="D6" s="16">
        <f>VLOOKUP($C6,Px!$B$13:$N$16,9,0)</f>
        <v>5629.0847414239352</v>
      </c>
      <c r="E6" s="97">
        <f>VLOOKUP($C6,Px!$B$13:$N$16,10,0)</f>
        <v>52.837568932045691</v>
      </c>
      <c r="F6" s="55">
        <f>Px!L14</f>
        <v>2.5992705791524648</v>
      </c>
      <c r="G6" s="9"/>
      <c r="H6" s="144">
        <f>COPELEC!F6/1000</f>
        <v>15.820170785415405</v>
      </c>
      <c r="I6" s="109">
        <f t="shared" si="0"/>
        <v>835899.36439112178</v>
      </c>
      <c r="J6" s="110">
        <f t="shared" si="1"/>
        <v>0</v>
      </c>
      <c r="K6" s="110"/>
      <c r="L6" s="111">
        <f t="shared" si="2"/>
        <v>41120.904479697609</v>
      </c>
      <c r="N6" s="11" t="s">
        <v>87</v>
      </c>
      <c r="O6" s="12">
        <f>J17</f>
        <v>20719582.228475448</v>
      </c>
    </row>
    <row r="7" spans="1:15" x14ac:dyDescent="0.25">
      <c r="A7" t="s">
        <v>44</v>
      </c>
      <c r="B7" t="s">
        <v>9</v>
      </c>
      <c r="C7" s="8" t="s">
        <v>16</v>
      </c>
      <c r="D7" s="16">
        <f>VLOOKUP($C7,Px!$B$13:$N$16,9,0)</f>
        <v>5699.5050912964716</v>
      </c>
      <c r="E7" s="97">
        <f>VLOOKUP($C7,Px!$B$13:$N$16,10,0)</f>
        <v>55.290519221267935</v>
      </c>
      <c r="F7" s="55">
        <f>Px!L15</f>
        <v>2.5992705791524648</v>
      </c>
      <c r="G7" s="9"/>
      <c r="H7" s="144">
        <f>COPELEC!C6/1000</f>
        <v>18.021729786167803</v>
      </c>
      <c r="I7" s="109">
        <f t="shared" si="0"/>
        <v>996430.79714260786</v>
      </c>
      <c r="J7" s="110">
        <f t="shared" si="1"/>
        <v>0</v>
      </c>
      <c r="K7" s="110"/>
      <c r="L7" s="111">
        <f t="shared" si="2"/>
        <v>46843.352018621619</v>
      </c>
      <c r="N7" s="11" t="s">
        <v>13</v>
      </c>
      <c r="O7" s="12">
        <f>K17</f>
        <v>351.05536768368017</v>
      </c>
    </row>
    <row r="8" spans="1:15" x14ac:dyDescent="0.25">
      <c r="A8" t="s">
        <v>44</v>
      </c>
      <c r="B8" t="s">
        <v>9</v>
      </c>
      <c r="C8" s="8" t="s">
        <v>77</v>
      </c>
      <c r="D8" s="16">
        <f>VLOOKUP($C8,Px!$B$13:$N$16,9,0)</f>
        <v>5405.3297587644292</v>
      </c>
      <c r="E8" s="97">
        <f>VLOOKUP($C8,Px!$B$13:$N$16,10,0)</f>
        <v>54.599387731002089</v>
      </c>
      <c r="F8" s="55">
        <v>2.5992705791524648</v>
      </c>
      <c r="G8" s="9"/>
      <c r="H8" s="144">
        <f>COPELEC!L6/1000</f>
        <v>0.60426501757029627</v>
      </c>
      <c r="I8" s="109">
        <f t="shared" ref="I8:I12" si="3">H8*E8*1000</f>
        <v>32992.499986601397</v>
      </c>
      <c r="J8" s="110">
        <f t="shared" ref="J8:J12" si="4">G8*D8*1000</f>
        <v>0</v>
      </c>
      <c r="K8" s="110"/>
      <c r="L8" s="111">
        <f t="shared" ref="L8:L12" si="5">H8*F8*1000</f>
        <v>1570.6482821815184</v>
      </c>
      <c r="N8" s="11" t="s">
        <v>50</v>
      </c>
      <c r="O8" s="12">
        <f>L17</f>
        <v>9227677.2025747877</v>
      </c>
    </row>
    <row r="9" spans="1:15" x14ac:dyDescent="0.25">
      <c r="A9" t="s">
        <v>44</v>
      </c>
      <c r="B9" t="s">
        <v>10</v>
      </c>
      <c r="C9" s="8" t="s">
        <v>42</v>
      </c>
      <c r="D9" s="16">
        <f>VLOOKUP($C9,Px!$B$13:$N$16,9,0)</f>
        <v>5509.8244714785133</v>
      </c>
      <c r="E9" s="97">
        <f>VLOOKUP($C9,Px!$B$13:$N$16,10,0)</f>
        <v>52.752593748816295</v>
      </c>
      <c r="F9" s="55">
        <f>Px!M13</f>
        <v>6.1114951746762607</v>
      </c>
      <c r="G9" s="9"/>
      <c r="H9" s="144">
        <f>COPELEC!J7/1000</f>
        <v>742.85736324999323</v>
      </c>
      <c r="I9" s="109">
        <f t="shared" si="3"/>
        <v>39187652.696843743</v>
      </c>
      <c r="J9" s="110">
        <f t="shared" si="4"/>
        <v>0</v>
      </c>
      <c r="K9" s="110"/>
      <c r="L9" s="111">
        <f t="shared" si="5"/>
        <v>4539969.1909750635</v>
      </c>
      <c r="N9" s="13" t="s">
        <v>12</v>
      </c>
      <c r="O9" s="14">
        <f>SUM(O5:O8)</f>
        <v>124575743.44937201</v>
      </c>
    </row>
    <row r="10" spans="1:15" x14ac:dyDescent="0.25">
      <c r="A10" t="s">
        <v>44</v>
      </c>
      <c r="B10" t="s">
        <v>10</v>
      </c>
      <c r="C10" s="8" t="s">
        <v>43</v>
      </c>
      <c r="D10" s="16">
        <f>VLOOKUP($C10,Px!$B$13:$N$16,9,0)</f>
        <v>5629.0847414239352</v>
      </c>
      <c r="E10" s="97">
        <f>VLOOKUP($C10,Px!$B$13:$N$16,10,0)</f>
        <v>52.837568932045691</v>
      </c>
      <c r="F10" s="55">
        <f>Px!M14</f>
        <v>6.1114951746762607</v>
      </c>
      <c r="G10" s="9"/>
      <c r="H10" s="144">
        <f>COPELEC!G7/1000</f>
        <v>23.434393215259377</v>
      </c>
      <c r="I10" s="109">
        <f t="shared" si="3"/>
        <v>1238216.366891931</v>
      </c>
      <c r="J10" s="110">
        <f t="shared" si="4"/>
        <v>0</v>
      </c>
      <c r="K10" s="110"/>
      <c r="L10" s="111">
        <f t="shared" si="5"/>
        <v>143219.18105652378</v>
      </c>
    </row>
    <row r="11" spans="1:15" x14ac:dyDescent="0.25">
      <c r="A11" t="s">
        <v>44</v>
      </c>
      <c r="B11" t="s">
        <v>10</v>
      </c>
      <c r="C11" s="8" t="s">
        <v>16</v>
      </c>
      <c r="D11" s="16">
        <f>VLOOKUP($C11,Px!$B$13:$N$16,9,0)</f>
        <v>5699.5050912964716</v>
      </c>
      <c r="E11" s="97">
        <f>VLOOKUP($C11,Px!$B$13:$N$16,10,0)</f>
        <v>55.290519221267935</v>
      </c>
      <c r="F11" s="55">
        <f>Px!M15</f>
        <v>6.1114951746762607</v>
      </c>
      <c r="G11" s="9"/>
      <c r="H11" s="144">
        <f>COPELEC!D7/1000</f>
        <v>26.914356156850598</v>
      </c>
      <c r="I11" s="109">
        <f t="shared" si="3"/>
        <v>1488108.7264183988</v>
      </c>
      <c r="J11" s="110">
        <f t="shared" si="4"/>
        <v>0</v>
      </c>
      <c r="K11" s="110"/>
      <c r="L11" s="111">
        <f t="shared" si="5"/>
        <v>164486.95778211075</v>
      </c>
    </row>
    <row r="12" spans="1:15" x14ac:dyDescent="0.25">
      <c r="A12" t="s">
        <v>44</v>
      </c>
      <c r="B12" t="s">
        <v>10</v>
      </c>
      <c r="C12" s="8" t="s">
        <v>77</v>
      </c>
      <c r="D12" s="16">
        <f>VLOOKUP($C12,Px!$B$13:$N$16,9,0)</f>
        <v>5405.3297587644292</v>
      </c>
      <c r="E12" s="97">
        <f>VLOOKUP($C12,Px!$B$13:$N$16,10,0)</f>
        <v>54.599387731002089</v>
      </c>
      <c r="F12" s="55">
        <v>6.1114951746762607</v>
      </c>
      <c r="G12" s="9"/>
      <c r="H12" s="144">
        <f>COPELEC!M7/1000</f>
        <v>0.89938839666948978</v>
      </c>
      <c r="I12" s="109">
        <f t="shared" si="3"/>
        <v>49106.055790521779</v>
      </c>
      <c r="J12" s="110">
        <f t="shared" si="4"/>
        <v>0</v>
      </c>
      <c r="K12" s="110"/>
      <c r="L12" s="111">
        <f t="shared" si="5"/>
        <v>5496.6078464054053</v>
      </c>
    </row>
    <row r="13" spans="1:15" x14ac:dyDescent="0.25">
      <c r="A13" t="s">
        <v>44</v>
      </c>
      <c r="B13" t="s">
        <v>11</v>
      </c>
      <c r="C13" s="8" t="s">
        <v>42</v>
      </c>
      <c r="D13" s="16">
        <f>VLOOKUP($C13,Px!$B$13:$N$16,9,0)</f>
        <v>5509.8244714785133</v>
      </c>
      <c r="E13" s="97">
        <f>VLOOKUP($C13,Px!$B$13:$N$16,10,0)</f>
        <v>52.752593748816295</v>
      </c>
      <c r="F13" s="55">
        <f>Px!N13</f>
        <v>6.4146553735900778</v>
      </c>
      <c r="G13" s="9">
        <f>COPELEC!V8/1000</f>
        <v>3.5115991489427931</v>
      </c>
      <c r="H13" s="144">
        <f>COPELEC!K8/1000</f>
        <v>437.41615965442929</v>
      </c>
      <c r="I13" s="109">
        <f t="shared" si="0"/>
        <v>23074836.969417475</v>
      </c>
      <c r="J13" s="110">
        <f t="shared" si="1"/>
        <v>19348294.924868122</v>
      </c>
      <c r="K13" s="110"/>
      <c r="L13" s="111">
        <f t="shared" si="2"/>
        <v>2805873.91902242</v>
      </c>
    </row>
    <row r="14" spans="1:15" x14ac:dyDescent="0.25">
      <c r="A14" t="s">
        <v>44</v>
      </c>
      <c r="B14" t="s">
        <v>11</v>
      </c>
      <c r="C14" s="8" t="s">
        <v>43</v>
      </c>
      <c r="D14" s="16">
        <f>VLOOKUP($C14,Px!$B$13:$N$16,9,0)</f>
        <v>5629.0847414239352</v>
      </c>
      <c r="E14" s="97">
        <f>VLOOKUP($C14,Px!$B$13:$N$16,10,0)</f>
        <v>52.837568932045691</v>
      </c>
      <c r="F14" s="55">
        <f>Px!N14</f>
        <v>6.4146553735900778</v>
      </c>
      <c r="G14" s="9">
        <f>COPELEC!U8/1000</f>
        <v>0.11074945339281922</v>
      </c>
      <c r="H14" s="144">
        <f>COPELEC!H8/1000</f>
        <v>13.795310493083669</v>
      </c>
      <c r="I14" s="109">
        <f t="shared" si="0"/>
        <v>728910.66911728156</v>
      </c>
      <c r="J14" s="110">
        <f t="shared" si="1"/>
        <v>623418.05821455992</v>
      </c>
      <c r="K14" s="110">
        <v>103.71401867586667</v>
      </c>
      <c r="L14" s="111">
        <f t="shared" si="2"/>
        <v>88492.162584802747</v>
      </c>
    </row>
    <row r="15" spans="1:15" x14ac:dyDescent="0.25">
      <c r="A15" t="s">
        <v>44</v>
      </c>
      <c r="B15" t="s">
        <v>11</v>
      </c>
      <c r="C15" s="8" t="s">
        <v>16</v>
      </c>
      <c r="D15" s="16">
        <f>VLOOKUP($C15,Px!$B$13:$N$16,9,0)</f>
        <v>5699.5050912964716</v>
      </c>
      <c r="E15" s="97">
        <f>VLOOKUP($C15,Px!$B$13:$N$16,10,0)</f>
        <v>55.290519221267935</v>
      </c>
      <c r="F15" s="55">
        <f>Px!N15</f>
        <v>6.4146553735900778</v>
      </c>
      <c r="G15" s="9">
        <f>COPELEC!T8/1000</f>
        <v>0.12721891754249548</v>
      </c>
      <c r="H15" s="144">
        <f>COPELEC!E8/1000</f>
        <v>15.846800271490338</v>
      </c>
      <c r="I15" s="109">
        <f>H15*E15*1000</f>
        <v>876177.81500643049</v>
      </c>
      <c r="J15" s="110">
        <f>G15*D15*1000</f>
        <v>725084.86824267905</v>
      </c>
      <c r="K15" s="110">
        <v>155.67638669634971</v>
      </c>
      <c r="L15" s="111">
        <f>H15*F15*1000</f>
        <v>101651.7625157242</v>
      </c>
    </row>
    <row r="16" spans="1:15" x14ac:dyDescent="0.25">
      <c r="A16" t="s">
        <v>44</v>
      </c>
      <c r="B16" t="s">
        <v>11</v>
      </c>
      <c r="C16" t="s">
        <v>77</v>
      </c>
      <c r="D16" s="101">
        <f>VLOOKUP($C16,Px!$B$13:$N$16,9,0)</f>
        <v>5405.3297587644292</v>
      </c>
      <c r="E16" s="102">
        <f>VLOOKUP($C16,Px!$B$13:$N$16,10,0)</f>
        <v>54.599387731002089</v>
      </c>
      <c r="F16" s="103">
        <v>6.4146553735900778</v>
      </c>
      <c r="G16" s="99">
        <f>COPELEC!W8/1000</f>
        <v>4.2151687624873571E-3</v>
      </c>
      <c r="H16" s="145">
        <f>COPELEC!N8/1000</f>
        <v>0.52505506869644425</v>
      </c>
      <c r="I16" s="104">
        <f>H16*E16*1000</f>
        <v>28667.685275885098</v>
      </c>
      <c r="J16" s="105">
        <f>G16*D16*1000</f>
        <v>22784.377150087144</v>
      </c>
      <c r="K16" s="105">
        <v>91.66496231146381</v>
      </c>
      <c r="L16" s="105">
        <f>H16*F16*1000</f>
        <v>3368.0473178443535</v>
      </c>
      <c r="M16" s="112"/>
    </row>
    <row r="17" spans="1:15" ht="15" x14ac:dyDescent="0.25">
      <c r="A17" s="18"/>
      <c r="B17" s="18"/>
      <c r="C17" s="18"/>
      <c r="D17" s="18"/>
      <c r="E17" s="52"/>
      <c r="F17" s="98" t="s">
        <v>12</v>
      </c>
      <c r="G17" s="121">
        <f>SUM(G5:G16)</f>
        <v>3.7537826886405949</v>
      </c>
      <c r="H17" s="126">
        <f t="shared" ref="H17:K17" si="6">SUM(H5:H16)</f>
        <v>1790.7293136735584</v>
      </c>
      <c r="I17" s="119">
        <f>SUM(I5:I16)</f>
        <v>94628132.962954089</v>
      </c>
      <c r="J17" s="119">
        <f>SUM(J5:J16)</f>
        <v>20719582.228475448</v>
      </c>
      <c r="K17" s="119">
        <f t="shared" si="6"/>
        <v>351.05536768368017</v>
      </c>
      <c r="L17" s="120">
        <f>SUM(L5:L16)</f>
        <v>9227677.2025747877</v>
      </c>
    </row>
    <row r="19" spans="1:15" x14ac:dyDescent="0.25">
      <c r="E19" s="11" t="s">
        <v>74</v>
      </c>
      <c r="F19" t="s">
        <v>75</v>
      </c>
    </row>
    <row r="23" spans="1:15" ht="15" x14ac:dyDescent="0.25">
      <c r="I23" s="78"/>
    </row>
    <row r="28" spans="1:15" x14ac:dyDescent="0.25">
      <c r="N28" s="15"/>
      <c r="O28" s="15"/>
    </row>
    <row r="30" spans="1:15" s="15" customFormat="1" ht="20.25" customHeight="1" x14ac:dyDescent="0.25">
      <c r="N30"/>
      <c r="O30"/>
    </row>
    <row r="32" spans="1:15" x14ac:dyDescent="0.25">
      <c r="I32" s="12"/>
      <c r="J32" s="1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8"/>
  <sheetViews>
    <sheetView workbookViewId="0">
      <selection activeCell="B4" sqref="B4"/>
    </sheetView>
  </sheetViews>
  <sheetFormatPr baseColWidth="10" defaultRowHeight="13.5" x14ac:dyDescent="0.25"/>
  <cols>
    <col min="1" max="1" width="21" bestFit="1" customWidth="1"/>
    <col min="16" max="16" width="13.85546875" bestFit="1" customWidth="1"/>
    <col min="19" max="19" width="9.42578125" bestFit="1" customWidth="1"/>
    <col min="20" max="20" width="14.28515625" bestFit="1" customWidth="1"/>
    <col min="24" max="26" width="3.7109375" customWidth="1"/>
  </cols>
  <sheetData>
    <row r="2" spans="1:27" ht="14.25" thickBot="1" x14ac:dyDescent="0.3"/>
    <row r="3" spans="1:27" ht="15.75" thickBot="1" x14ac:dyDescent="0.3">
      <c r="A3" s="34" t="s">
        <v>45</v>
      </c>
      <c r="B3" s="34" t="s">
        <v>84</v>
      </c>
      <c r="C3" s="137" t="s">
        <v>46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9"/>
      <c r="P3" s="137" t="s">
        <v>24</v>
      </c>
      <c r="Q3" s="138"/>
      <c r="R3" s="138"/>
      <c r="S3" s="138"/>
      <c r="T3" s="138"/>
      <c r="U3" s="138"/>
      <c r="V3" s="138"/>
      <c r="W3" s="139"/>
      <c r="Z3" s="35"/>
      <c r="AA3" s="36"/>
    </row>
    <row r="4" spans="1:27" ht="15.75" thickBot="1" x14ac:dyDescent="0.3">
      <c r="C4" s="140" t="s">
        <v>16</v>
      </c>
      <c r="D4" s="140"/>
      <c r="E4" s="140"/>
      <c r="F4" s="140" t="s">
        <v>43</v>
      </c>
      <c r="G4" s="140"/>
      <c r="H4" s="140"/>
      <c r="I4" s="140" t="s">
        <v>42</v>
      </c>
      <c r="J4" s="140"/>
      <c r="K4" s="140"/>
      <c r="L4" s="140" t="s">
        <v>77</v>
      </c>
      <c r="M4" s="140"/>
      <c r="N4" s="140"/>
      <c r="O4" s="141" t="s">
        <v>47</v>
      </c>
      <c r="P4" s="137" t="s">
        <v>48</v>
      </c>
      <c r="Q4" s="138"/>
      <c r="R4" s="138"/>
      <c r="S4" s="139"/>
      <c r="T4" s="137" t="s">
        <v>49</v>
      </c>
      <c r="U4" s="138"/>
      <c r="V4" s="138"/>
      <c r="W4" s="139"/>
      <c r="AA4" s="37"/>
    </row>
    <row r="5" spans="1:27" ht="15.75" thickBot="1" x14ac:dyDescent="0.3">
      <c r="A5" s="38" t="s">
        <v>51</v>
      </c>
      <c r="B5" s="39" t="s">
        <v>52</v>
      </c>
      <c r="C5" s="40" t="s">
        <v>39</v>
      </c>
      <c r="D5" s="41" t="s">
        <v>40</v>
      </c>
      <c r="E5" s="42" t="s">
        <v>41</v>
      </c>
      <c r="F5" s="40" t="s">
        <v>39</v>
      </c>
      <c r="G5" s="41" t="s">
        <v>40</v>
      </c>
      <c r="H5" s="42" t="s">
        <v>41</v>
      </c>
      <c r="I5" s="40" t="s">
        <v>39</v>
      </c>
      <c r="J5" s="41" t="s">
        <v>40</v>
      </c>
      <c r="K5" s="42" t="s">
        <v>41</v>
      </c>
      <c r="L5" s="40" t="s">
        <v>39</v>
      </c>
      <c r="M5" s="41" t="s">
        <v>40</v>
      </c>
      <c r="N5" s="42" t="s">
        <v>41</v>
      </c>
      <c r="O5" s="142"/>
      <c r="P5" s="43" t="s">
        <v>16</v>
      </c>
      <c r="Q5" s="43" t="s">
        <v>43</v>
      </c>
      <c r="R5" s="43" t="s">
        <v>42</v>
      </c>
      <c r="S5" s="44" t="s">
        <v>77</v>
      </c>
      <c r="T5" s="43" t="s">
        <v>16</v>
      </c>
      <c r="U5" s="44" t="s">
        <v>43</v>
      </c>
      <c r="V5" s="44" t="s">
        <v>42</v>
      </c>
      <c r="W5" s="44" t="s">
        <v>77</v>
      </c>
      <c r="AA5" s="37"/>
    </row>
    <row r="6" spans="1:27" ht="15" x14ac:dyDescent="0.25">
      <c r="A6" s="45" t="s">
        <v>53</v>
      </c>
      <c r="B6" s="46" t="s">
        <v>54</v>
      </c>
      <c r="C6" s="74">
        <v>18021.729786167802</v>
      </c>
      <c r="D6" s="75">
        <v>0</v>
      </c>
      <c r="E6" s="75">
        <v>0</v>
      </c>
      <c r="F6" s="75">
        <v>15820.170785415405</v>
      </c>
      <c r="G6" s="75">
        <v>0</v>
      </c>
      <c r="H6" s="75">
        <v>0</v>
      </c>
      <c r="I6" s="75">
        <v>494594.32157793251</v>
      </c>
      <c r="J6" s="75">
        <v>0</v>
      </c>
      <c r="K6" s="76">
        <v>0</v>
      </c>
      <c r="L6" s="75">
        <v>604.26501757029632</v>
      </c>
      <c r="M6" s="75">
        <v>0</v>
      </c>
      <c r="N6" s="76">
        <v>0</v>
      </c>
      <c r="O6" s="73">
        <v>529040.4871670861</v>
      </c>
      <c r="P6" s="47">
        <v>0</v>
      </c>
      <c r="Q6" s="48">
        <v>0</v>
      </c>
      <c r="R6" s="48">
        <v>0</v>
      </c>
      <c r="S6" s="48">
        <v>0</v>
      </c>
      <c r="T6" s="49">
        <v>0</v>
      </c>
      <c r="U6" s="49">
        <v>0</v>
      </c>
      <c r="V6" s="49">
        <v>0</v>
      </c>
      <c r="W6" s="49">
        <v>0</v>
      </c>
      <c r="X6" s="50"/>
      <c r="AA6" s="51"/>
    </row>
    <row r="7" spans="1:27" ht="15" x14ac:dyDescent="0.25">
      <c r="A7" s="45" t="s">
        <v>53</v>
      </c>
      <c r="B7" s="46" t="s">
        <v>55</v>
      </c>
      <c r="C7" s="74">
        <v>0</v>
      </c>
      <c r="D7" s="75">
        <v>26914.356156850597</v>
      </c>
      <c r="E7" s="75">
        <v>0</v>
      </c>
      <c r="F7" s="75">
        <v>0</v>
      </c>
      <c r="G7" s="75">
        <v>23434.393215259377</v>
      </c>
      <c r="H7" s="75">
        <v>0</v>
      </c>
      <c r="I7" s="75">
        <v>0</v>
      </c>
      <c r="J7" s="75">
        <v>742857.36324999318</v>
      </c>
      <c r="K7" s="76">
        <v>0</v>
      </c>
      <c r="L7" s="75">
        <v>0</v>
      </c>
      <c r="M7" s="75">
        <v>899.38839666948979</v>
      </c>
      <c r="N7" s="76">
        <v>0</v>
      </c>
      <c r="O7" s="73">
        <v>794105.50101877272</v>
      </c>
      <c r="P7" s="47">
        <v>0</v>
      </c>
      <c r="Q7" s="48">
        <v>0</v>
      </c>
      <c r="R7" s="48">
        <v>0</v>
      </c>
      <c r="S7" s="48">
        <v>0</v>
      </c>
      <c r="T7" s="49">
        <v>0</v>
      </c>
      <c r="U7" s="49">
        <v>0</v>
      </c>
      <c r="V7" s="49">
        <v>0</v>
      </c>
      <c r="W7" s="49">
        <v>0</v>
      </c>
      <c r="X7" s="50"/>
      <c r="AA7" s="51"/>
    </row>
    <row r="8" spans="1:27" ht="15" x14ac:dyDescent="0.25">
      <c r="A8" s="45" t="s">
        <v>53</v>
      </c>
      <c r="B8" s="46" t="s">
        <v>56</v>
      </c>
      <c r="C8" s="74">
        <v>0</v>
      </c>
      <c r="D8" s="75">
        <v>0</v>
      </c>
      <c r="E8" s="75">
        <v>15846.800271490338</v>
      </c>
      <c r="F8" s="75">
        <v>0</v>
      </c>
      <c r="G8" s="75">
        <v>0</v>
      </c>
      <c r="H8" s="75">
        <v>13795.310493083669</v>
      </c>
      <c r="I8" s="75">
        <v>0</v>
      </c>
      <c r="J8" s="75">
        <v>0</v>
      </c>
      <c r="K8" s="76">
        <v>437416.1596544293</v>
      </c>
      <c r="L8" s="75">
        <v>0</v>
      </c>
      <c r="M8" s="75">
        <v>0</v>
      </c>
      <c r="N8" s="76">
        <v>525.05506869644421</v>
      </c>
      <c r="O8" s="73">
        <v>467583.32548769977</v>
      </c>
      <c r="P8" s="47">
        <v>3.8180709987465184E-3</v>
      </c>
      <c r="Q8" s="48">
        <v>3.3237924382189944E-3</v>
      </c>
      <c r="R8" s="48">
        <v>0.1053894745278182</v>
      </c>
      <c r="S8" s="48">
        <v>1.2650487771599962E-4</v>
      </c>
      <c r="T8" s="49">
        <v>127.21891754249549</v>
      </c>
      <c r="U8" s="49">
        <v>110.74945339281922</v>
      </c>
      <c r="V8" s="49">
        <v>3511.5991489427929</v>
      </c>
      <c r="W8" s="49">
        <v>4.2151687624873571</v>
      </c>
      <c r="X8" s="50"/>
      <c r="AA8" s="51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8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topLeftCell="A2" zoomScaleNormal="100" workbookViewId="0">
      <selection activeCell="M36" sqref="M36"/>
    </sheetView>
  </sheetViews>
  <sheetFormatPr baseColWidth="10" defaultRowHeight="13.5" x14ac:dyDescent="0.25"/>
  <cols>
    <col min="1" max="1" width="17.7109375" bestFit="1" customWidth="1"/>
    <col min="2" max="2" width="13" bestFit="1" customWidth="1"/>
    <col min="3" max="3" width="20.140625" bestFit="1" customWidth="1"/>
    <col min="4" max="4" width="24.28515625" bestFit="1" customWidth="1"/>
    <col min="5" max="5" width="15" customWidth="1"/>
    <col min="6" max="6" width="15.140625" customWidth="1"/>
    <col min="7" max="7" width="18.7109375" bestFit="1" customWidth="1"/>
    <col min="8" max="8" width="15.28515625" customWidth="1"/>
    <col min="9" max="9" width="13.42578125" bestFit="1" customWidth="1"/>
    <col min="10" max="10" width="18.85546875" customWidth="1"/>
    <col min="11" max="11" width="20.28515625" customWidth="1"/>
    <col min="14" max="14" width="14.85546875" bestFit="1" customWidth="1"/>
    <col min="16" max="16" width="22" bestFit="1" customWidth="1"/>
  </cols>
  <sheetData>
    <row r="2" spans="1:15" x14ac:dyDescent="0.25">
      <c r="A2" s="19" t="s">
        <v>18</v>
      </c>
      <c r="B2" s="20"/>
      <c r="C2" s="20" t="s">
        <v>19</v>
      </c>
      <c r="D2" s="21" t="s">
        <v>20</v>
      </c>
      <c r="E2" s="22"/>
      <c r="F2" s="22"/>
      <c r="G2" s="22"/>
    </row>
    <row r="3" spans="1:15" x14ac:dyDescent="0.25">
      <c r="A3" s="23" t="s">
        <v>21</v>
      </c>
      <c r="B3" s="22" t="s">
        <v>22</v>
      </c>
      <c r="C3" s="22">
        <v>79.322000000000003</v>
      </c>
      <c r="D3" s="24" t="s">
        <v>23</v>
      </c>
      <c r="E3" s="93"/>
      <c r="F3" s="22"/>
      <c r="G3" s="92"/>
    </row>
    <row r="4" spans="1:15" ht="25.5" x14ac:dyDescent="0.25">
      <c r="A4" s="25" t="s">
        <v>24</v>
      </c>
      <c r="B4" s="26" t="s">
        <v>25</v>
      </c>
      <c r="C4" s="26">
        <v>8.3592999999999993</v>
      </c>
      <c r="D4" s="27" t="s">
        <v>23</v>
      </c>
      <c r="E4" s="93"/>
      <c r="F4" s="22"/>
      <c r="G4" s="92"/>
      <c r="H4" s="124" t="s">
        <v>80</v>
      </c>
      <c r="I4" s="124" t="s">
        <v>79</v>
      </c>
      <c r="J4" s="124" t="s">
        <v>83</v>
      </c>
      <c r="K4" s="124" t="s">
        <v>85</v>
      </c>
    </row>
    <row r="5" spans="1:15" x14ac:dyDescent="0.25">
      <c r="A5" s="19" t="s">
        <v>18</v>
      </c>
      <c r="B5" s="20"/>
      <c r="C5" s="20" t="s">
        <v>19</v>
      </c>
      <c r="D5" s="21" t="s">
        <v>20</v>
      </c>
      <c r="E5" s="22"/>
      <c r="F5" s="22"/>
      <c r="G5" s="19" t="s">
        <v>76</v>
      </c>
      <c r="H5" s="114">
        <v>3.3449466699414958</v>
      </c>
      <c r="I5" s="122">
        <v>3.37</v>
      </c>
      <c r="J5" s="115">
        <v>3.3700316074714429</v>
      </c>
      <c r="K5" s="115">
        <v>3.3700316074714429</v>
      </c>
    </row>
    <row r="6" spans="1:15" x14ac:dyDescent="0.25">
      <c r="A6" s="23" t="s">
        <v>26</v>
      </c>
      <c r="B6" s="22"/>
      <c r="C6" s="22">
        <v>779.31</v>
      </c>
      <c r="D6" s="24" t="s">
        <v>81</v>
      </c>
      <c r="E6" s="22"/>
      <c r="F6" s="22"/>
      <c r="G6" s="88" t="s">
        <v>72</v>
      </c>
      <c r="H6" s="115">
        <v>0.87534183766412499</v>
      </c>
      <c r="I6" s="123">
        <v>0.83829503674262562</v>
      </c>
      <c r="J6" s="115">
        <v>0.87942121205570145</v>
      </c>
      <c r="K6" s="115">
        <v>0.87943198434289549</v>
      </c>
    </row>
    <row r="7" spans="1:15" x14ac:dyDescent="0.25">
      <c r="A7" s="23" t="s">
        <v>27</v>
      </c>
      <c r="B7" s="22"/>
      <c r="C7" s="117">
        <v>257.13600000000002</v>
      </c>
      <c r="D7" s="24"/>
      <c r="E7" s="22"/>
      <c r="F7" s="22"/>
      <c r="G7" s="89" t="s">
        <v>73</v>
      </c>
      <c r="H7" s="116">
        <v>0.913295382872503</v>
      </c>
      <c r="I7" s="100">
        <v>0.80379824892460383</v>
      </c>
      <c r="J7" s="116">
        <v>0.80379756382292911</v>
      </c>
      <c r="K7" s="116">
        <v>0.80379756382292911</v>
      </c>
      <c r="O7" s="72"/>
    </row>
    <row r="8" spans="1:15" x14ac:dyDescent="0.25">
      <c r="A8" s="23" t="s">
        <v>28</v>
      </c>
      <c r="B8" s="22"/>
      <c r="C8" s="28">
        <v>237.09</v>
      </c>
      <c r="D8" s="29" t="s">
        <v>29</v>
      </c>
      <c r="E8" s="22"/>
      <c r="F8" s="22"/>
      <c r="G8" s="22"/>
      <c r="O8" s="72"/>
    </row>
    <row r="9" spans="1:15" x14ac:dyDescent="0.25">
      <c r="A9" s="25" t="s">
        <v>30</v>
      </c>
      <c r="B9" s="26"/>
      <c r="C9" s="30"/>
      <c r="D9" s="31" t="s">
        <v>68</v>
      </c>
      <c r="E9" s="22"/>
      <c r="F9" s="22"/>
      <c r="G9" s="22"/>
      <c r="O9" s="72"/>
    </row>
    <row r="10" spans="1:15" x14ac:dyDescent="0.25">
      <c r="A10" s="22"/>
      <c r="B10" s="22"/>
      <c r="C10" s="22"/>
      <c r="D10" s="22"/>
      <c r="E10" s="22"/>
      <c r="F10" s="22"/>
      <c r="G10" s="22"/>
    </row>
    <row r="11" spans="1:15" x14ac:dyDescent="0.25">
      <c r="A11" s="56"/>
      <c r="B11" s="56"/>
      <c r="C11" s="57"/>
      <c r="D11" s="56"/>
      <c r="E11" s="56"/>
      <c r="F11" s="56"/>
      <c r="G11" s="56"/>
      <c r="H11" s="58"/>
      <c r="I11" s="86"/>
      <c r="J11" s="58"/>
      <c r="L11" s="59" t="s">
        <v>9</v>
      </c>
      <c r="M11" s="59" t="s">
        <v>10</v>
      </c>
      <c r="N11" s="60" t="s">
        <v>11</v>
      </c>
    </row>
    <row r="12" spans="1:15" ht="25.5" x14ac:dyDescent="0.25">
      <c r="A12" s="61" t="s">
        <v>58</v>
      </c>
      <c r="B12" s="61" t="s">
        <v>31</v>
      </c>
      <c r="C12" s="61" t="s">
        <v>59</v>
      </c>
      <c r="D12" s="61" t="s">
        <v>32</v>
      </c>
      <c r="E12" s="61" t="s">
        <v>71</v>
      </c>
      <c r="F12" s="61" t="s">
        <v>33</v>
      </c>
      <c r="G12" s="61" t="s">
        <v>34</v>
      </c>
      <c r="H12" s="61" t="s">
        <v>35</v>
      </c>
      <c r="I12" s="61" t="s">
        <v>36</v>
      </c>
      <c r="J12" s="94" t="s">
        <v>36</v>
      </c>
      <c r="K12" s="95" t="s">
        <v>60</v>
      </c>
      <c r="L12" s="61" t="s">
        <v>61</v>
      </c>
      <c r="M12" s="61" t="s">
        <v>62</v>
      </c>
      <c r="N12" s="62" t="s">
        <v>63</v>
      </c>
    </row>
    <row r="13" spans="1:15" x14ac:dyDescent="0.25">
      <c r="A13" s="22" t="s">
        <v>64</v>
      </c>
      <c r="B13" s="22" t="s">
        <v>42</v>
      </c>
      <c r="C13" s="63" t="s">
        <v>65</v>
      </c>
      <c r="D13" s="64">
        <v>0.93120000000000003</v>
      </c>
      <c r="E13" s="64">
        <v>0.97019999999999995</v>
      </c>
      <c r="F13" s="65">
        <f>($C$3*$C$7/$C$8-$J$5)*D13</f>
        <v>76.971741437890671</v>
      </c>
      <c r="G13" s="65">
        <f>$C$4*$C$7/$C$8*E13</f>
        <v>8.7959110517059358</v>
      </c>
      <c r="H13" s="65">
        <f>F13*$C$6/1000</f>
        <v>59.984847819962575</v>
      </c>
      <c r="I13" s="87">
        <f>G13*$C$6</f>
        <v>6854.7414417049522</v>
      </c>
      <c r="J13" s="118">
        <f>I13*$K$7</f>
        <v>5509.8244714785133</v>
      </c>
      <c r="K13" s="66">
        <f>H13*$K$6</f>
        <v>52.752593748816295</v>
      </c>
      <c r="L13" s="67">
        <v>2.5992705791524648</v>
      </c>
      <c r="M13" s="67">
        <v>6.1114951746762607</v>
      </c>
      <c r="N13" s="66">
        <v>6.4146553735900778</v>
      </c>
    </row>
    <row r="14" spans="1:15" x14ac:dyDescent="0.25">
      <c r="A14" s="22" t="s">
        <v>64</v>
      </c>
      <c r="B14" s="22" t="s">
        <v>43</v>
      </c>
      <c r="C14" s="63" t="s">
        <v>66</v>
      </c>
      <c r="D14" s="64">
        <v>0.93269999999999997</v>
      </c>
      <c r="E14" s="64">
        <v>0.99119999999999997</v>
      </c>
      <c r="F14" s="65">
        <f t="shared" ref="F14:F16" si="0">($C$3*$C$7/$C$8-$J$5)*D14</f>
        <v>77.095729423454273</v>
      </c>
      <c r="G14" s="65">
        <f t="shared" ref="G14:G15" si="1">$C$4*$C$7/$C$8*E14</f>
        <v>8.9862987368077949</v>
      </c>
      <c r="H14" s="65">
        <f t="shared" ref="H14:H15" si="2">F14*$C$6/1000</f>
        <v>60.081472896992139</v>
      </c>
      <c r="I14" s="87">
        <f t="shared" ref="I14:I15" si="3">G14*$C$6</f>
        <v>7003.1124685816822</v>
      </c>
      <c r="J14" s="118">
        <f t="shared" ref="J14:J16" si="4">I14*$K$7</f>
        <v>5629.0847414239352</v>
      </c>
      <c r="K14" s="66">
        <f t="shared" ref="K14:K16" si="5">H14*$K$6</f>
        <v>52.837568932045691</v>
      </c>
      <c r="L14" s="67">
        <v>2.5992705791524648</v>
      </c>
      <c r="M14" s="67">
        <v>6.1114951746762607</v>
      </c>
      <c r="N14" s="66">
        <v>6.4146553735900778</v>
      </c>
    </row>
    <row r="15" spans="1:15" x14ac:dyDescent="0.25">
      <c r="A15" s="22" t="s">
        <v>64</v>
      </c>
      <c r="B15" s="22" t="s">
        <v>16</v>
      </c>
      <c r="C15" s="63" t="s">
        <v>67</v>
      </c>
      <c r="D15" s="64">
        <v>0.97599999999999998</v>
      </c>
      <c r="E15" s="64">
        <v>1.0036</v>
      </c>
      <c r="F15" s="65">
        <f t="shared" si="0"/>
        <v>80.674849273390564</v>
      </c>
      <c r="G15" s="65">
        <f t="shared" si="1"/>
        <v>9.0987181318203234</v>
      </c>
      <c r="H15" s="65">
        <f t="shared" si="2"/>
        <v>62.870716787245996</v>
      </c>
      <c r="I15" s="87">
        <f t="shared" si="3"/>
        <v>7090.722027308896</v>
      </c>
      <c r="J15" s="118">
        <f t="shared" si="4"/>
        <v>5699.5050912964716</v>
      </c>
      <c r="K15" s="66">
        <f t="shared" si="5"/>
        <v>55.290519221267935</v>
      </c>
      <c r="L15" s="67">
        <v>2.5992705791524648</v>
      </c>
      <c r="M15" s="67">
        <v>6.1114951746762607</v>
      </c>
      <c r="N15" s="66">
        <v>6.4146553735900778</v>
      </c>
    </row>
    <row r="16" spans="1:15" x14ac:dyDescent="0.25">
      <c r="A16" s="22" t="s">
        <v>64</v>
      </c>
      <c r="B16" s="22" t="s">
        <v>77</v>
      </c>
      <c r="C16" s="63" t="s">
        <v>78</v>
      </c>
      <c r="D16" s="64">
        <v>0.96379999999999999</v>
      </c>
      <c r="E16" s="64">
        <v>0.95179999999999998</v>
      </c>
      <c r="F16" s="65">
        <f t="shared" si="0"/>
        <v>79.666413657473186</v>
      </c>
      <c r="G16" s="65">
        <f>$C$4*$C$7/$C$8*E16</f>
        <v>8.6290951752357348</v>
      </c>
      <c r="H16" s="65">
        <f>F16*$C$6/1000</f>
        <v>62.084832827405421</v>
      </c>
      <c r="I16" s="87">
        <f>G16*$C$6</f>
        <v>6724.74016101296</v>
      </c>
      <c r="J16" s="118">
        <f t="shared" si="4"/>
        <v>5405.3297587644292</v>
      </c>
      <c r="K16" s="66">
        <f t="shared" si="5"/>
        <v>54.599387731002089</v>
      </c>
      <c r="L16" s="67">
        <v>2.5992705791524648</v>
      </c>
      <c r="M16" s="67">
        <v>6.1114951746762607</v>
      </c>
      <c r="N16" s="66">
        <v>6.4146553735900778</v>
      </c>
    </row>
    <row r="17" spans="4:11" x14ac:dyDescent="0.25">
      <c r="E17" s="72"/>
      <c r="I17" s="72"/>
      <c r="K17" s="125"/>
    </row>
    <row r="18" spans="4:11" x14ac:dyDescent="0.25">
      <c r="E18" s="72"/>
      <c r="I18" s="72"/>
    </row>
    <row r="19" spans="4:11" x14ac:dyDescent="0.25">
      <c r="D19" s="64"/>
      <c r="E19" s="72"/>
      <c r="F19" s="65"/>
      <c r="H19" s="65"/>
      <c r="I19" s="72"/>
      <c r="K19" s="66"/>
    </row>
    <row r="22" spans="4:11" x14ac:dyDescent="0.25">
      <c r="E22" s="113"/>
    </row>
    <row r="24" spans="4:11" x14ac:dyDescent="0.25">
      <c r="I24" s="22"/>
    </row>
    <row r="25" spans="4:11" x14ac:dyDescent="0.25">
      <c r="I25" s="22"/>
    </row>
    <row r="26" spans="4:11" x14ac:dyDescent="0.25">
      <c r="I26" s="22"/>
    </row>
    <row r="27" spans="4:11" x14ac:dyDescent="0.25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2020-10-09T14:35:16Z</dcterms:modified>
</cp:coreProperties>
</file>