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1-nov\"/>
    </mc:Choice>
  </mc:AlternateContent>
  <xr:revisionPtr revIDLastSave="0" documentId="13_ncr:1_{F00B00FD-D796-4430-A0A9-C069177E4A6E}" xr6:coauthVersionLast="45" xr6:coauthVersionMax="45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DINER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9" i="1"/>
  <c r="I9" i="1" s="1"/>
  <c r="H12" i="1"/>
  <c r="H13" i="1"/>
  <c r="I13" i="1" s="1"/>
  <c r="G12" i="1"/>
  <c r="G13" i="1"/>
  <c r="I11" i="1"/>
  <c r="I12" i="1"/>
  <c r="D7" i="1"/>
  <c r="I10" i="1"/>
  <c r="I14" i="1" l="1"/>
  <c r="E3" i="2" l="1"/>
  <c r="F3" i="2" s="1"/>
  <c r="F13" i="2"/>
  <c r="L8" i="3" l="1"/>
  <c r="L7" i="3"/>
  <c r="L6" i="3"/>
  <c r="G11" i="1" l="1"/>
  <c r="H11" i="1"/>
  <c r="H8" i="1"/>
  <c r="H7" i="1"/>
  <c r="H6" i="1"/>
  <c r="H5" i="1"/>
  <c r="K14" i="1" l="1"/>
  <c r="O7" i="1" s="1"/>
  <c r="H13" i="2" l="1"/>
  <c r="K13" i="2" s="1"/>
  <c r="F15" i="2"/>
  <c r="F14" i="2"/>
  <c r="E5" i="1" l="1"/>
  <c r="E8" i="1"/>
  <c r="E11" i="1"/>
  <c r="H14" i="2"/>
  <c r="K14" i="2" s="1"/>
  <c r="H15" i="2"/>
  <c r="K15" i="2" s="1"/>
  <c r="E10" i="1" l="1"/>
  <c r="E7" i="1"/>
  <c r="E9" i="1"/>
  <c r="E12" i="1"/>
  <c r="E6" i="1"/>
  <c r="E13" i="1"/>
  <c r="G14" i="2"/>
  <c r="I14" i="2" s="1"/>
  <c r="J14" i="2" s="1"/>
  <c r="G15" i="2"/>
  <c r="I15" i="2" s="1"/>
  <c r="J15" i="2" s="1"/>
  <c r="G13" i="2"/>
  <c r="D13" i="1" l="1"/>
  <c r="D10" i="1"/>
  <c r="J10" i="1" s="1"/>
  <c r="D6" i="1"/>
  <c r="D12" i="1"/>
  <c r="D9" i="1"/>
  <c r="J9" i="1" s="1"/>
  <c r="I13" i="2"/>
  <c r="J13" i="2" s="1"/>
  <c r="D11" i="1" l="1"/>
  <c r="D8" i="1"/>
  <c r="J8" i="1" s="1"/>
  <c r="D5" i="1"/>
  <c r="J5" i="1" s="1"/>
  <c r="J6" i="1"/>
  <c r="J7" i="1"/>
  <c r="J13" i="1" l="1"/>
  <c r="J12" i="1"/>
  <c r="I7" i="1"/>
  <c r="I6" i="1"/>
  <c r="H14" i="1" l="1"/>
  <c r="G14" i="1"/>
  <c r="L10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O5" i="1" l="1"/>
  <c r="L14" i="1"/>
  <c r="O8" i="1" s="1"/>
  <c r="O9" i="1" l="1"/>
</calcChain>
</file>

<file path=xl/sharedStrings.xml><?xml version="1.0" encoding="utf-8"?>
<sst xmlns="http://schemas.openxmlformats.org/spreadsheetml/2006/main" count="132" uniqueCount="82">
  <si>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</si>
  <si>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</si>
  <si>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</si>
  <si>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</si>
  <si>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</si>
  <si>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</si>
  <si>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</si>
  <si>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</si>
  <si>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</si>
  <si>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</si>
  <si>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</si>
  <si>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</si>
  <si>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</si>
  <si>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</si>
  <si>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</si>
  <si>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</si>
  <si>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</si>
  <si>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</si>
  <si>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</si>
  <si>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</si>
  <si>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</si>
  <si>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</si>
  <si>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</si>
  <si>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</si>
  <si>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</si>
  <si>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</si>
  <si>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</si>
  <si>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</si>
  <si>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</si>
  <si>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</si>
  <si>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</si>
  <si>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</si>
  <si>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</si>
  <si>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</si>
  <si>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</si>
  <si>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</si>
  <si>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</si>
  <si>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</si>
  <si>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</si>
  <si>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</si>
  <si>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</si>
  <si>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</si>
  <si>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</si>
  <si>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</si>
  <si>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</si>
  <si>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</si>
  <si>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</si>
  <si>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</si>
  <si>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</si>
  <si>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</si>
  <si>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</si>
  <si>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</si>
  <si>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</si>
  <si>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</si>
  <si>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</si>
  <si>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</si>
  <si>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</si>
  <si>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</si>
  <si>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</si>
  <si>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</si>
  <si>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</si>
  <si>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</si>
  <si>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</si>
  <si>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</si>
  <si>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</si>
  <si>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</si>
  <si>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</si>
  <si>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</si>
  <si>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</si>
  <si>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</si>
  <si>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</si>
  <si>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</si>
  <si>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</si>
  <si>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Octubre</t>
  </si>
  <si>
    <t>CODINER</t>
  </si>
  <si>
    <t xml:space="preserve"> ITD Enero 2020</t>
  </si>
  <si>
    <t>PNP 6T-20 (abr-19 a sep-19)</t>
  </si>
  <si>
    <t>Indexación Punto de Oferta</t>
  </si>
  <si>
    <t>PE [$/kWh]</t>
  </si>
  <si>
    <t>PE [USD/MWh]</t>
  </si>
  <si>
    <t>Active Energy: 375,313.5 kWh</t>
  </si>
  <si>
    <t>Capacity: 252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</si>
</sst>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" fontId="0" fillId="0" borderId="0" xfId="0" applyNumberFormat="1"/>
    <xf numFmtId="172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6" fontId="0" fillId="0" borderId="28" xfId="0" applyNumberFormat="1" applyBorder="1" applyAlignment="1">
      <alignment horizontal="center"/>
    </xf>
    <xf numFmtId="172" fontId="0" fillId="0" borderId="29" xfId="0" applyNumberFormat="1" applyBorder="1" applyAlignment="1">
      <alignment horizontal="center"/>
    </xf>
    <xf numFmtId="172" fontId="0" fillId="0" borderId="23" xfId="0" applyNumberFormat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7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0" borderId="15" xfId="2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H11" sqref="H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9" t="s">
        <v>16</v>
      </c>
      <c r="J2" s="120"/>
      <c r="K2" s="120"/>
      <c r="L2" s="121"/>
    </row>
    <row r="3" spans="1:15" x14ac:dyDescent="0.25">
      <c r="A3" s="122" t="s">
        <v>15</v>
      </c>
      <c r="B3" s="125" t="s">
        <v>0</v>
      </c>
      <c r="C3" s="127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4" t="s">
        <v>59</v>
      </c>
      <c r="O3" s="124"/>
    </row>
    <row r="4" spans="1:15" ht="14.4" x14ac:dyDescent="0.3">
      <c r="A4" s="123"/>
      <c r="B4" s="126"/>
      <c r="C4" s="128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74</v>
      </c>
      <c r="B5" s="5" t="s">
        <v>9</v>
      </c>
      <c r="C5" s="6" t="s">
        <v>41</v>
      </c>
      <c r="D5" s="17">
        <f>VLOOKUP($C5,Px!$B$13:$K$16,9,0)</f>
        <v>5424.7666076670121</v>
      </c>
      <c r="E5" s="89">
        <f>VLOOKUP($C5,Px!$B$13:$K$16,10,0)</f>
        <v>46.747096394678216</v>
      </c>
      <c r="F5" s="51">
        <v>0</v>
      </c>
      <c r="G5" s="7"/>
      <c r="H5" s="91">
        <f>(CODINER!C6)/1000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80</v>
      </c>
      <c r="O5" s="12">
        <f>I14</f>
        <v>17279480.118725676</v>
      </c>
    </row>
    <row r="6" spans="1:15" x14ac:dyDescent="0.25">
      <c r="A6" t="s">
        <v>74</v>
      </c>
      <c r="B6" t="s">
        <v>9</v>
      </c>
      <c r="C6" s="8" t="s">
        <v>72</v>
      </c>
      <c r="D6" s="16">
        <f>VLOOKUP($C6,Px!$B$13:$K$16,9,0)</f>
        <v>5251.8543120512841</v>
      </c>
      <c r="E6" s="90">
        <f>VLOOKUP($C6,Px!$B$13:$K$16,10,0)</f>
        <v>45.792155708968743</v>
      </c>
      <c r="F6" s="52">
        <v>0</v>
      </c>
      <c r="G6" s="9"/>
      <c r="H6" s="92">
        <f>(CODINER!F6)/1000</f>
        <v>0</v>
      </c>
      <c r="I6" s="96">
        <f t="shared" si="0"/>
        <v>0</v>
      </c>
      <c r="J6" s="97">
        <f t="shared" si="1"/>
        <v>0</v>
      </c>
      <c r="K6" s="97"/>
      <c r="L6" s="98">
        <f t="shared" si="2"/>
        <v>0</v>
      </c>
      <c r="N6" s="11" t="s">
        <v>81</v>
      </c>
      <c r="O6" s="12">
        <f>J14</f>
        <v>1321753.2521332288</v>
      </c>
    </row>
    <row r="7" spans="1:15" x14ac:dyDescent="0.25">
      <c r="A7" t="s">
        <v>74</v>
      </c>
      <c r="B7" t="s">
        <v>9</v>
      </c>
      <c r="C7" s="8" t="s">
        <v>70</v>
      </c>
      <c r="D7" s="16">
        <f>VLOOKUP($C7,Px!$B$13:$K$16,9,0)</f>
        <v>5255.2783179050612</v>
      </c>
      <c r="E7" s="90">
        <f>VLOOKUP($C7,Px!$B$13:$K$16,10,0)</f>
        <v>46.067138628937435</v>
      </c>
      <c r="F7" s="52">
        <v>0</v>
      </c>
      <c r="G7" s="9"/>
      <c r="H7" s="92">
        <f>(CODINER!I6)/1000</f>
        <v>0</v>
      </c>
      <c r="I7" s="96">
        <f t="shared" si="0"/>
        <v>0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34380.255648022518</v>
      </c>
    </row>
    <row r="8" spans="1:15" x14ac:dyDescent="0.25">
      <c r="A8" t="s">
        <v>74</v>
      </c>
      <c r="B8" t="s">
        <v>10</v>
      </c>
      <c r="C8" s="8" t="s">
        <v>41</v>
      </c>
      <c r="D8" s="16">
        <f>VLOOKUP($C8,Px!$B$13:$K$16,9,0)</f>
        <v>5424.7666076670121</v>
      </c>
      <c r="E8" s="90">
        <f>VLOOKUP($C8,Px!$B$13:$K$16,10,0)</f>
        <v>46.747096394678216</v>
      </c>
      <c r="F8" s="52">
        <v>0</v>
      </c>
      <c r="G8" s="9"/>
      <c r="H8" s="92">
        <f>(CODINER!D7)/1000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74</v>
      </c>
      <c r="B9" t="s">
        <v>10</v>
      </c>
      <c r="C9" s="8" t="s">
        <v>72</v>
      </c>
      <c r="D9" s="16">
        <f>VLOOKUP($C9,Px!$B$13:$K$16,9,0)</f>
        <v>5251.8543120512841</v>
      </c>
      <c r="E9" s="90">
        <f>VLOOKUP($C9,Px!$B$13:$K$16,10,0)</f>
        <v>45.792155708968743</v>
      </c>
      <c r="F9" s="52">
        <v>0</v>
      </c>
      <c r="G9" s="9"/>
      <c r="H9" s="92">
        <f>(CODINER!J7)/1000</f>
        <v>131.54210167558281</v>
      </c>
      <c r="I9" s="96">
        <f>H9*E9*1000</f>
        <v>6023596.4022132866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18635613.626506925</v>
      </c>
    </row>
    <row r="10" spans="1:15" x14ac:dyDescent="0.25">
      <c r="A10" t="s">
        <v>74</v>
      </c>
      <c r="B10" t="s">
        <v>10</v>
      </c>
      <c r="C10" s="8" t="s">
        <v>70</v>
      </c>
      <c r="D10" s="16">
        <f>VLOOKUP($C10,Px!$B$13:$K$16,9,0)</f>
        <v>5255.2783179050612</v>
      </c>
      <c r="E10" s="90">
        <f>VLOOKUP($C10,Px!$B$13:$K$16,10,0)</f>
        <v>46.067138628937435</v>
      </c>
      <c r="F10" s="52">
        <v>0</v>
      </c>
      <c r="G10" s="9"/>
      <c r="H10" s="92">
        <f>(CODINER!G7)/1000</f>
        <v>112.72444518443976</v>
      </c>
      <c r="I10" s="96">
        <f>H10*E10*1000</f>
        <v>5192892.6431816453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74</v>
      </c>
      <c r="B11" t="s">
        <v>11</v>
      </c>
      <c r="C11" s="8" t="s">
        <v>41</v>
      </c>
      <c r="D11" s="16">
        <f>VLOOKUP($C11,Px!$B$13:$K$16,9,0)</f>
        <v>5424.7666076670121</v>
      </c>
      <c r="E11" s="90">
        <f>VLOOKUP($C11,Px!$B$13:$K$16,10,0)</f>
        <v>46.747096394678216</v>
      </c>
      <c r="F11" s="52">
        <v>0</v>
      </c>
      <c r="G11" s="9">
        <f>CODINER!M8/1000</f>
        <v>0</v>
      </c>
      <c r="H11" s="92">
        <f>(CODINER!E8)/1000</f>
        <v>0</v>
      </c>
      <c r="I11" s="96">
        <f>H11*E11*1000</f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74</v>
      </c>
      <c r="B12" t="s">
        <v>11</v>
      </c>
      <c r="C12" s="8" t="s">
        <v>72</v>
      </c>
      <c r="D12" s="16">
        <f>VLOOKUP($C12,Px!$B$13:$K$16,9,0)</f>
        <v>5251.8543120512841</v>
      </c>
      <c r="E12" s="90">
        <f>VLOOKUP($C12,Px!$B$13:$K$16,10,0)</f>
        <v>45.792155708968743</v>
      </c>
      <c r="F12" s="52">
        <v>0</v>
      </c>
      <c r="G12" s="9">
        <f>CODINER!O8/1000</f>
        <v>0.13866000000000001</v>
      </c>
      <c r="H12" s="92">
        <f>(CODINER!K8)/1000</f>
        <v>72.852648281080363</v>
      </c>
      <c r="I12" s="96">
        <f>H12*E12*1000</f>
        <v>3336079.8138979659</v>
      </c>
      <c r="J12" s="97">
        <f t="shared" si="1"/>
        <v>728222.11890903115</v>
      </c>
      <c r="K12" s="97">
        <v>29434.680142920464</v>
      </c>
      <c r="L12" s="98">
        <f t="shared" si="2"/>
        <v>0</v>
      </c>
    </row>
    <row r="13" spans="1:15" x14ac:dyDescent="0.25">
      <c r="A13" t="s">
        <v>74</v>
      </c>
      <c r="B13" t="s">
        <v>11</v>
      </c>
      <c r="C13" s="8" t="s">
        <v>70</v>
      </c>
      <c r="D13" s="16">
        <f>VLOOKUP($C13,Px!$B$13:$K$16,9,0)</f>
        <v>5255.2783179050612</v>
      </c>
      <c r="E13" s="90">
        <f>VLOOKUP($C13,Px!$B$13:$K$16,10,0)</f>
        <v>46.067138628937435</v>
      </c>
      <c r="F13" s="52">
        <v>0</v>
      </c>
      <c r="G13" s="9">
        <f>CODINER!N8/1000</f>
        <v>0.11294</v>
      </c>
      <c r="H13" s="92">
        <f>(CODINER!H8)/1000</f>
        <v>59.194283400094825</v>
      </c>
      <c r="I13" s="96">
        <f>H13*E13*1000</f>
        <v>2726911.2594327787</v>
      </c>
      <c r="J13" s="97">
        <f>G13*D13*1000</f>
        <v>593531.13322419755</v>
      </c>
      <c r="K13" s="97">
        <v>4945.5755051020533</v>
      </c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4"/>
      <c r="F14" s="105" t="s">
        <v>12</v>
      </c>
      <c r="G14" s="106">
        <f t="shared" ref="G14:L14" si="6">SUM(G5:G13)</f>
        <v>0.25159999999999999</v>
      </c>
      <c r="H14" s="118">
        <f t="shared" si="6"/>
        <v>376.31347854119775</v>
      </c>
      <c r="I14" s="107">
        <f>SUM(I5:I13)</f>
        <v>17279480.118725676</v>
      </c>
      <c r="J14" s="107">
        <f t="shared" si="6"/>
        <v>1321753.2521332288</v>
      </c>
      <c r="K14" s="107">
        <f t="shared" si="6"/>
        <v>34380.255648022518</v>
      </c>
      <c r="L14" s="103">
        <f t="shared" si="6"/>
        <v>0</v>
      </c>
    </row>
    <row r="16" spans="1:15" x14ac:dyDescent="0.25">
      <c r="E16" s="11" t="s">
        <v>63</v>
      </c>
      <c r="F16" t="s">
        <v>64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A31" sqref="A31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73</v>
      </c>
      <c r="C3" s="129" t="s">
        <v>43</v>
      </c>
      <c r="D3" s="130"/>
      <c r="E3" s="130"/>
      <c r="F3" s="130"/>
      <c r="G3" s="130"/>
      <c r="H3" s="130"/>
      <c r="I3" s="130"/>
      <c r="J3" s="130"/>
      <c r="K3" s="130"/>
      <c r="L3" s="131"/>
      <c r="M3" s="129" t="s">
        <v>23</v>
      </c>
      <c r="N3" s="130"/>
      <c r="O3" s="131"/>
      <c r="R3" s="35"/>
      <c r="S3" s="36"/>
    </row>
    <row r="4" spans="1:19" ht="15" thickBot="1" x14ac:dyDescent="0.35">
      <c r="C4" s="132" t="s">
        <v>67</v>
      </c>
      <c r="D4" s="132"/>
      <c r="E4" s="132"/>
      <c r="F4" s="133" t="s">
        <v>68</v>
      </c>
      <c r="G4" s="134"/>
      <c r="H4" s="135"/>
      <c r="I4" s="132" t="s">
        <v>69</v>
      </c>
      <c r="J4" s="132"/>
      <c r="K4" s="132"/>
      <c r="L4" s="136" t="s">
        <v>44</v>
      </c>
      <c r="M4" s="129" t="s">
        <v>45</v>
      </c>
      <c r="N4" s="130"/>
      <c r="O4" s="131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7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9">
        <v>0</v>
      </c>
      <c r="L6" s="66">
        <f>SUM(C6:K6)</f>
        <v>0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112724.44518443976</v>
      </c>
      <c r="H7" s="68">
        <v>0</v>
      </c>
      <c r="I7" s="68">
        <v>0</v>
      </c>
      <c r="J7" s="68">
        <v>131542.10167558282</v>
      </c>
      <c r="K7" s="69">
        <v>0</v>
      </c>
      <c r="L7" s="66">
        <f>SUM(C7:K7)</f>
        <v>244266.54686002259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59194.283400094828</v>
      </c>
      <c r="I8" s="68">
        <v>0</v>
      </c>
      <c r="J8" s="68">
        <v>0</v>
      </c>
      <c r="K8" s="69">
        <v>72852.648281080357</v>
      </c>
      <c r="L8" s="66">
        <f>SUM(C8:K8)</f>
        <v>132046.93168117519</v>
      </c>
      <c r="M8" s="47">
        <v>0</v>
      </c>
      <c r="N8" s="47">
        <v>112.94</v>
      </c>
      <c r="O8" s="47">
        <v>138.66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1:K27"/>
  <sheetViews>
    <sheetView zoomScaleNormal="100" workbookViewId="0">
      <selection activeCell="J2" sqref="J2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2" bestFit="1" customWidth="1"/>
    <col min="12" max="12" width="22" bestFit="1" customWidth="1"/>
  </cols>
  <sheetData>
    <row r="1" spans="1:11" ht="13.8" x14ac:dyDescent="0.3">
      <c r="E1" s="138" t="s">
        <v>77</v>
      </c>
      <c r="F1" s="139"/>
    </row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1" t="s">
        <v>79</v>
      </c>
      <c r="F2" s="21" t="s">
        <v>78</v>
      </c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116">
        <f>(C3*C7/C8-H5)</f>
        <v>82.256104808700854</v>
      </c>
      <c r="F3" s="117">
        <f>E3*C6/1000</f>
        <v>57.116994057065696</v>
      </c>
      <c r="G3" s="85"/>
      <c r="H3" s="108"/>
      <c r="I3" s="108"/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112" t="s">
        <v>75</v>
      </c>
      <c r="I4" s="111"/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13">
        <v>3.1322265591341565</v>
      </c>
      <c r="I5" s="110"/>
    </row>
    <row r="6" spans="1:11" ht="13.8" x14ac:dyDescent="0.3">
      <c r="A6" s="23" t="s">
        <v>25</v>
      </c>
      <c r="B6" s="22"/>
      <c r="C6" s="22">
        <v>694.38</v>
      </c>
      <c r="D6" s="24" t="s">
        <v>76</v>
      </c>
      <c r="E6" s="22">
        <v>694.38</v>
      </c>
      <c r="F6" s="22"/>
      <c r="G6" s="81" t="s">
        <v>61</v>
      </c>
      <c r="H6" s="114">
        <v>0.87534183766412499</v>
      </c>
      <c r="I6" s="109"/>
    </row>
    <row r="7" spans="1:11" ht="13.8" x14ac:dyDescent="0.3">
      <c r="A7" s="23" t="s">
        <v>26</v>
      </c>
      <c r="B7" s="22"/>
      <c r="C7" s="101">
        <v>255.22200000000001</v>
      </c>
      <c r="D7" s="24"/>
      <c r="E7" s="22"/>
      <c r="F7" s="22"/>
      <c r="G7" s="82" t="s">
        <v>62</v>
      </c>
      <c r="H7" s="115">
        <v>0.913295382872503</v>
      </c>
      <c r="I7" s="109"/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ht="13.8" x14ac:dyDescent="0.3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0.93500000000000005</v>
      </c>
      <c r="E13" s="58">
        <v>0.9506</v>
      </c>
      <c r="F13" s="59">
        <f>($C$3*$C$7/$C$8-$H$5)*D13</f>
        <v>76.909457996135302</v>
      </c>
      <c r="G13" s="59">
        <f>$C$4*$C$7/$C$8*E13</f>
        <v>8.5540659147528775</v>
      </c>
      <c r="H13" s="59">
        <f>F13*$C$6/1000</f>
        <v>53.404389443356429</v>
      </c>
      <c r="I13" s="80">
        <f>G13*$C$6</f>
        <v>5939.772289886103</v>
      </c>
      <c r="J13" s="102">
        <f>I13*$H$7</f>
        <v>5424.7666076670121</v>
      </c>
      <c r="K13" s="60">
        <f>H13*$H$6</f>
        <v>46.747096394678216</v>
      </c>
    </row>
    <row r="14" spans="1:11" ht="13.8" x14ac:dyDescent="0.3">
      <c r="A14" s="22" t="s">
        <v>71</v>
      </c>
      <c r="B14" s="22" t="s">
        <v>70</v>
      </c>
      <c r="C14" s="57"/>
      <c r="D14" s="58">
        <v>0.9214</v>
      </c>
      <c r="E14" s="58">
        <v>0.92090000000000005</v>
      </c>
      <c r="F14" s="59">
        <f>($C$3*$C$7/$C$8-$H$5)*D14</f>
        <v>75.790774970736962</v>
      </c>
      <c r="G14" s="59">
        <f t="shared" ref="G14:G15" si="0">$C$4*$C$7/$C$8*E14</f>
        <v>8.286807596145513</v>
      </c>
      <c r="H14" s="59">
        <f t="shared" ref="H14:H15" si="1">F14*$C$6/1000</f>
        <v>52.627598324180333</v>
      </c>
      <c r="I14" s="80">
        <f>G14*$C$6</f>
        <v>5754.1934586115212</v>
      </c>
      <c r="J14" s="102">
        <f t="shared" ref="J14:J15" si="2">I14*$H$7</f>
        <v>5255.2783179050612</v>
      </c>
      <c r="K14" s="60">
        <f t="shared" ref="K14:K15" si="3">H14*$H$6</f>
        <v>46.067138628937435</v>
      </c>
    </row>
    <row r="15" spans="1:11" ht="13.8" x14ac:dyDescent="0.3">
      <c r="A15" s="22" t="s">
        <v>71</v>
      </c>
      <c r="B15" s="22" t="s">
        <v>72</v>
      </c>
      <c r="C15" s="57"/>
      <c r="D15" s="58">
        <v>0.91590000000000005</v>
      </c>
      <c r="E15" s="58">
        <v>0.92030000000000001</v>
      </c>
      <c r="F15" s="59">
        <f>($C$3*$C$7/$C$8-$H$5)*D15</f>
        <v>75.33836639428911</v>
      </c>
      <c r="G15" s="59">
        <f t="shared" si="0"/>
        <v>8.2814084381938482</v>
      </c>
      <c r="H15" s="59">
        <f t="shared" si="1"/>
        <v>52.313454856866471</v>
      </c>
      <c r="I15" s="80">
        <f>G15*$C$6</f>
        <v>5750.4443913130444</v>
      </c>
      <c r="J15" s="102">
        <f t="shared" si="2"/>
        <v>5251.8543120512841</v>
      </c>
      <c r="K15" s="60">
        <f t="shared" si="3"/>
        <v>45.792155708968743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2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CODINER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2020-11-12T17:12:18Z</dcterms:modified>
</cp:coreProperties>
</file>