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1-nov\"/>
    </mc:Choice>
  </mc:AlternateContent>
  <xr:revisionPtr revIDLastSave="0" documentId="13_ncr:1_{72364D40-857C-4BDE-845F-C5C5A39508BE}" xr6:coauthVersionLast="45" xr6:coauthVersionMax="45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F16" i="2" l="1"/>
  <c r="F15" i="2"/>
  <c r="F14" i="2"/>
  <c r="F13" i="2"/>
  <c r="K17" i="1" l="1"/>
  <c r="O7" i="1" s="1"/>
  <c r="H13" i="2" l="1"/>
  <c r="K13" i="2" s="1"/>
  <c r="H12" i="1" l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E16" i="1" l="1"/>
  <c r="I16" i="1" s="1"/>
  <c r="E12" i="1"/>
  <c r="E8" i="1"/>
  <c r="I8" i="1" s="1"/>
  <c r="D16" i="1"/>
  <c r="J16" i="1" s="1"/>
  <c r="D12" i="1"/>
  <c r="J12" i="1" s="1"/>
  <c r="D8" i="1"/>
  <c r="J8" i="1" s="1"/>
  <c r="I12" i="1"/>
  <c r="H14" i="2" l="1"/>
  <c r="K14" i="2" s="1"/>
  <c r="H15" i="2"/>
  <c r="K15" i="2" s="1"/>
  <c r="E15" i="1" l="1"/>
  <c r="E11" i="1"/>
  <c r="E7" i="1"/>
  <c r="E14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6" i="1"/>
  <c r="D14" i="1"/>
  <c r="D10" i="1"/>
  <c r="J10" i="1" s="1"/>
  <c r="E9" i="1"/>
  <c r="E5" i="1"/>
  <c r="E13" i="1"/>
  <c r="E6" i="1"/>
  <c r="E10" i="1"/>
  <c r="I13" i="2"/>
  <c r="J13" i="2" s="1"/>
  <c r="F13" i="1"/>
  <c r="F14" i="1"/>
  <c r="F15" i="1"/>
  <c r="F9" i="1"/>
  <c r="F10" i="1"/>
  <c r="F11" i="1"/>
  <c r="F5" i="1"/>
  <c r="F6" i="1"/>
  <c r="F7" i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H17" i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s="1"/>
</calcChain>
</file>

<file path=xl/sharedStrings.xml><?xml version="1.0" encoding="utf-8"?>
<sst xmlns="http://schemas.openxmlformats.org/spreadsheetml/2006/main" count="163" uniqueCount="88">
  <si>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</si>
  <si>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</si>
  <si>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</si>
  <si>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</si>
  <si>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</si>
  <si>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</si>
  <si>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</si>
  <si>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</si>
  <si>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</si>
  <si>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</si>
  <si>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</si>
  <si>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</si>
  <si>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</si>
  <si>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</si>
  <si>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</si>
  <si>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</si>
  <si>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</si>
  <si>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</si>
  <si>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</si>
  <si>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</si>
  <si>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</si>
  <si>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</si>
  <si>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</si>
  <si>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</si>
  <si>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</si>
  <si>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</si>
  <si>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</si>
  <si>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</si>
  <si>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</si>
  <si>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</si>
  <si>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</si>
  <si>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</si>
  <si>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</si>
  <si>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</si>
  <si>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</si>
  <si>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</si>
  <si>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</si>
  <si>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</si>
  <si>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</si>
  <si>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</si>
  <si>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</si>
  <si>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</si>
  <si>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</si>
  <si>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</si>
  <si>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</si>
  <si>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</si>
  <si>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</si>
  <si>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</si>
  <si>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</si>
  <si>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</si>
  <si>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</si>
  <si>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</si>
  <si>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</si>
  <si>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</si>
  <si>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</si>
  <si>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</si>
  <si>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</si>
  <si>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</si>
  <si>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</si>
  <si>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</si>
  <si>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</si>
  <si>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</si>
  <si>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</si>
  <si>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</si>
  <si>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</si>
  <si>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</si>
  <si>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</si>
  <si>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</si>
  <si>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</si>
  <si>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</si>
  <si>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</si>
  <si>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</si>
  <si>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</si>
  <si>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</si>
  <si>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</si>
  <si>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</si>
  <si>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</si>
  <si>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</si>
  <si>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</si>
  <si>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</si>
  <si>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</si>
  <si>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PNP 2T-20 (abr-20 a sep-20)</t>
  </si>
  <si>
    <t>Conceptos</t>
  </si>
  <si>
    <t xml:space="preserve"> ITD Julio 2020 - Actualización 04/09</t>
  </si>
  <si>
    <t xml:space="preserve"> ITD Julio 2020 - Actualización 02/10</t>
  </si>
  <si>
    <t>Capacity: 3,754 kW</t>
  </si>
  <si>
    <t>Octubre</t>
  </si>
  <si>
    <t>Active Energy: 2,061,383.0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</si>
</sst>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3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3" applyNumberFormat="1" applyFont="1" applyBorder="1" applyAlignment="1">
      <alignment horizontal="center"/>
    </xf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2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171" fontId="2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6" fillId="6" borderId="16" xfId="0" applyFont="1" applyFill="1" applyBorder="1" applyAlignment="1">
      <alignment horizontal="center" vertical="center" wrapText="1"/>
    </xf>
    <xf numFmtId="171" fontId="4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167" fontId="2" fillId="3" borderId="8" xfId="0" applyNumberFormat="1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zoomScale="90" zoomScaleNormal="90" workbookViewId="0">
      <selection activeCell="O18" sqref="O18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7"/>
      <c r="B2" s="77"/>
      <c r="C2" s="90"/>
      <c r="D2" s="91"/>
      <c r="E2" s="77"/>
      <c r="F2" s="70"/>
      <c r="G2" s="70"/>
      <c r="H2" s="71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81" t="s">
        <v>2</v>
      </c>
      <c r="E3" s="79" t="s">
        <v>3</v>
      </c>
      <c r="F3" s="32" t="s">
        <v>50</v>
      </c>
      <c r="G3" s="1" t="s">
        <v>4</v>
      </c>
      <c r="H3" s="2" t="s">
        <v>5</v>
      </c>
      <c r="I3" s="69" t="s">
        <v>38</v>
      </c>
      <c r="J3" s="68" t="s">
        <v>4</v>
      </c>
      <c r="K3" s="68" t="s">
        <v>37</v>
      </c>
      <c r="L3" s="53" t="s">
        <v>50</v>
      </c>
      <c r="N3" s="134" t="s">
        <v>70</v>
      </c>
      <c r="O3" s="134"/>
    </row>
    <row r="4" spans="1:15" ht="14.4" x14ac:dyDescent="0.3">
      <c r="A4" s="133"/>
      <c r="B4" s="136"/>
      <c r="C4" s="138"/>
      <c r="D4" s="82" t="s">
        <v>6</v>
      </c>
      <c r="E4" s="80" t="s">
        <v>7</v>
      </c>
      <c r="F4" s="33" t="s">
        <v>57</v>
      </c>
      <c r="G4" s="3" t="s">
        <v>69</v>
      </c>
      <c r="H4" s="4" t="s">
        <v>8</v>
      </c>
      <c r="I4" s="85" t="s">
        <v>14</v>
      </c>
      <c r="J4" s="83" t="s">
        <v>14</v>
      </c>
      <c r="K4" s="83" t="s">
        <v>14</v>
      </c>
      <c r="L4" s="84" t="s">
        <v>14</v>
      </c>
      <c r="N4" s="10" t="s">
        <v>82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VLOOKUP($C5,Px!$B$13:$N$16,9,0)</f>
        <v>5509.8244714785133</v>
      </c>
      <c r="E5" s="96">
        <f>VLOOKUP($C5,Px!$B$13:$N$16,10,0)</f>
        <v>52.752593748816295</v>
      </c>
      <c r="F5" s="54">
        <f>Px!L13</f>
        <v>2.5992705791524648</v>
      </c>
      <c r="G5" s="7"/>
      <c r="H5" s="126">
        <f>COPELEC!I6/1000</f>
        <v>566.7399800954056</v>
      </c>
      <c r="I5" s="106">
        <f t="shared" ref="I5:I14" si="0">H5*E5*1000</f>
        <v>29897003.931185164</v>
      </c>
      <c r="J5" s="107">
        <f t="shared" ref="J5:J14" si="1">G5*D5*1000</f>
        <v>0</v>
      </c>
      <c r="K5" s="107"/>
      <c r="L5" s="108">
        <f t="shared" ref="L5:L14" si="2">H5*F5*1000</f>
        <v>1473110.5562914412</v>
      </c>
      <c r="N5" s="11" t="s">
        <v>87</v>
      </c>
      <c r="O5" s="12">
        <f>I17</f>
        <v>108928456.92538193</v>
      </c>
    </row>
    <row r="6" spans="1:15" x14ac:dyDescent="0.25">
      <c r="A6" t="s">
        <v>44</v>
      </c>
      <c r="B6" t="s">
        <v>9</v>
      </c>
      <c r="C6" s="8" t="s">
        <v>43</v>
      </c>
      <c r="D6" s="16">
        <f>VLOOKUP($C6,Px!$B$13:$N$16,9,0)</f>
        <v>5629.0847414239352</v>
      </c>
      <c r="E6" s="97">
        <f>VLOOKUP($C6,Px!$B$13:$N$16,10,0)</f>
        <v>52.837568932045691</v>
      </c>
      <c r="F6" s="55">
        <f>Px!L14</f>
        <v>2.5992705791524648</v>
      </c>
      <c r="G6" s="9"/>
      <c r="H6" s="127">
        <f>COPELEC!F6/1000</f>
        <v>17.625108869609264</v>
      </c>
      <c r="I6" s="109">
        <f t="shared" si="0"/>
        <v>931267.90483278944</v>
      </c>
      <c r="J6" s="110">
        <f t="shared" si="1"/>
        <v>0</v>
      </c>
      <c r="K6" s="110"/>
      <c r="L6" s="111">
        <f t="shared" si="2"/>
        <v>45812.426939134515</v>
      </c>
      <c r="N6" s="11" t="s">
        <v>85</v>
      </c>
      <c r="O6" s="12">
        <f>J17</f>
        <v>20719105.295492884</v>
      </c>
    </row>
    <row r="7" spans="1:15" x14ac:dyDescent="0.25">
      <c r="A7" t="s">
        <v>44</v>
      </c>
      <c r="B7" t="s">
        <v>9</v>
      </c>
      <c r="C7" s="8" t="s">
        <v>16</v>
      </c>
      <c r="D7" s="16">
        <f>VLOOKUP($C7,Px!$B$13:$N$16,9,0)</f>
        <v>5699.5050912964716</v>
      </c>
      <c r="E7" s="97">
        <f>VLOOKUP($C7,Px!$B$13:$N$16,10,0)</f>
        <v>55.290519221267935</v>
      </c>
      <c r="F7" s="55">
        <f>Px!L15</f>
        <v>2.5992705791524648</v>
      </c>
      <c r="G7" s="9"/>
      <c r="H7" s="127">
        <f>COPELEC!C6/1000</f>
        <v>20.34884356772757</v>
      </c>
      <c r="I7" s="109">
        <f t="shared" si="0"/>
        <v>1125098.1264120154</v>
      </c>
      <c r="J7" s="110">
        <f t="shared" si="1"/>
        <v>0</v>
      </c>
      <c r="K7" s="110"/>
      <c r="L7" s="111">
        <f t="shared" si="2"/>
        <v>52892.15040537015</v>
      </c>
      <c r="N7" s="11" t="s">
        <v>13</v>
      </c>
      <c r="O7" s="12">
        <f>K17</f>
        <v>139196.19161922156</v>
      </c>
    </row>
    <row r="8" spans="1:15" x14ac:dyDescent="0.25">
      <c r="A8" t="s">
        <v>44</v>
      </c>
      <c r="B8" t="s">
        <v>9</v>
      </c>
      <c r="C8" s="8" t="s">
        <v>77</v>
      </c>
      <c r="D8" s="16">
        <f>VLOOKUP($C8,Px!$B$13:$N$16,9,0)</f>
        <v>5405.3297587644292</v>
      </c>
      <c r="E8" s="97">
        <f>VLOOKUP($C8,Px!$B$13:$N$16,10,0)</f>
        <v>54.599387731002089</v>
      </c>
      <c r="F8" s="55">
        <v>2.5992705791524648</v>
      </c>
      <c r="G8" s="9"/>
      <c r="H8" s="127">
        <f>COPELEC!L6/1000</f>
        <v>0.68134319713118441</v>
      </c>
      <c r="I8" s="109">
        <f t="shared" ref="I8:I12" si="3">H8*E8*1000</f>
        <v>37200.921398046128</v>
      </c>
      <c r="J8" s="110">
        <f t="shared" ref="J8:J12" si="4">G8*D8*1000</f>
        <v>0</v>
      </c>
      <c r="K8" s="110"/>
      <c r="L8" s="111">
        <f t="shared" ref="L8:L12" si="5">H8*F8*1000</f>
        <v>1770.9953266087657</v>
      </c>
      <c r="N8" s="11" t="s">
        <v>50</v>
      </c>
      <c r="O8" s="12">
        <f>L17</f>
        <v>10628749.984069223</v>
      </c>
    </row>
    <row r="9" spans="1:15" x14ac:dyDescent="0.25">
      <c r="A9" t="s">
        <v>44</v>
      </c>
      <c r="B9" t="s">
        <v>10</v>
      </c>
      <c r="C9" s="8" t="s">
        <v>42</v>
      </c>
      <c r="D9" s="16">
        <f>VLOOKUP($C9,Px!$B$13:$N$16,9,0)</f>
        <v>5509.8244714785133</v>
      </c>
      <c r="E9" s="97">
        <f>VLOOKUP($C9,Px!$B$13:$N$16,10,0)</f>
        <v>52.752593748816295</v>
      </c>
      <c r="F9" s="55">
        <f>Px!M13</f>
        <v>6.1114951746762607</v>
      </c>
      <c r="G9" s="9"/>
      <c r="H9" s="127">
        <f>COPELEC!J7/1000</f>
        <v>878.67542009485965</v>
      </c>
      <c r="I9" s="109">
        <f t="shared" si="3"/>
        <v>46352407.473334625</v>
      </c>
      <c r="J9" s="110">
        <f t="shared" si="4"/>
        <v>0</v>
      </c>
      <c r="K9" s="110"/>
      <c r="L9" s="111">
        <f t="shared" si="5"/>
        <v>5370020.5900163706</v>
      </c>
      <c r="N9" s="13" t="s">
        <v>12</v>
      </c>
      <c r="O9" s="14">
        <f>SUM(O5:O8)</f>
        <v>140415508.39656326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VLOOKUP($C10,Px!$B$13:$N$16,9,0)</f>
        <v>5629.0847414239352</v>
      </c>
      <c r="E10" s="97">
        <f>VLOOKUP($C10,Px!$B$13:$N$16,10,0)</f>
        <v>52.837568932045691</v>
      </c>
      <c r="F10" s="55">
        <f>Px!M14</f>
        <v>6.1114951746762607</v>
      </c>
      <c r="G10" s="9"/>
      <c r="H10" s="127">
        <f>COPELEC!G7/1000</f>
        <v>27.162891678567995</v>
      </c>
      <c r="I10" s="109">
        <f t="shared" si="3"/>
        <v>1435221.1614600266</v>
      </c>
      <c r="J10" s="110">
        <f t="shared" si="4"/>
        <v>0</v>
      </c>
      <c r="K10" s="110"/>
      <c r="L10" s="111">
        <f t="shared" si="5"/>
        <v>166005.88142382225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VLOOKUP($C11,Px!$B$13:$N$16,9,0)</f>
        <v>5699.5050912964716</v>
      </c>
      <c r="E11" s="97">
        <f>VLOOKUP($C11,Px!$B$13:$N$16,10,0)</f>
        <v>55.290519221267935</v>
      </c>
      <c r="F11" s="55">
        <f>Px!M15</f>
        <v>6.1114951746762607</v>
      </c>
      <c r="G11" s="9"/>
      <c r="H11" s="127">
        <f>COPELEC!D7/1000</f>
        <v>31.537573874293116</v>
      </c>
      <c r="I11" s="109">
        <f t="shared" si="3"/>
        <v>1743728.8344887611</v>
      </c>
      <c r="J11" s="110">
        <f t="shared" si="4"/>
        <v>0</v>
      </c>
      <c r="K11" s="110"/>
      <c r="L11" s="111">
        <f t="shared" si="5"/>
        <v>192741.73055373848</v>
      </c>
    </row>
    <row r="12" spans="1:15" x14ac:dyDescent="0.25">
      <c r="A12" t="s">
        <v>44</v>
      </c>
      <c r="B12" t="s">
        <v>10</v>
      </c>
      <c r="C12" s="8" t="s">
        <v>77</v>
      </c>
      <c r="D12" s="16">
        <f>VLOOKUP($C12,Px!$B$13:$N$16,9,0)</f>
        <v>5405.3297587644292</v>
      </c>
      <c r="E12" s="97">
        <f>VLOOKUP($C12,Px!$B$13:$N$16,10,0)</f>
        <v>54.599387731002089</v>
      </c>
      <c r="F12" s="55">
        <v>6.1114951746762607</v>
      </c>
      <c r="G12" s="9"/>
      <c r="H12" s="127">
        <f>COPELEC!M7/1000</f>
        <v>1.0577652830468864</v>
      </c>
      <c r="I12" s="109">
        <f t="shared" si="3"/>
        <v>57753.336817470125</v>
      </c>
      <c r="J12" s="110">
        <f t="shared" si="4"/>
        <v>0</v>
      </c>
      <c r="K12" s="110"/>
      <c r="L12" s="111">
        <f t="shared" si="5"/>
        <v>6464.5274232811153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VLOOKUP($C13,Px!$B$13:$N$16,9,0)</f>
        <v>5509.8244714785133</v>
      </c>
      <c r="E13" s="97">
        <f>VLOOKUP($C13,Px!$B$13:$N$16,10,0)</f>
        <v>52.752593748816295</v>
      </c>
      <c r="F13" s="55">
        <f>Px!N13</f>
        <v>6.4146553735900778</v>
      </c>
      <c r="G13" s="9">
        <f>COPELEC!V8/1000</f>
        <v>3.515054966058142</v>
      </c>
      <c r="H13" s="127">
        <f>COPELEC!K8/1000</f>
        <v>484.63942262618986</v>
      </c>
      <c r="I13" s="109">
        <f t="shared" si="0"/>
        <v>25565986.57646028</v>
      </c>
      <c r="J13" s="110">
        <f t="shared" si="1"/>
        <v>19367335.870579228</v>
      </c>
      <c r="K13" s="110"/>
      <c r="L13" s="111">
        <f t="shared" si="2"/>
        <v>3108794.8766026818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VLOOKUP($C14,Px!$B$13:$N$16,9,0)</f>
        <v>5629.0847414239352</v>
      </c>
      <c r="E14" s="97">
        <f>VLOOKUP($C14,Px!$B$13:$N$16,10,0)</f>
        <v>52.837568932045691</v>
      </c>
      <c r="F14" s="55">
        <f>Px!N14</f>
        <v>6.4146553735900778</v>
      </c>
      <c r="G14" s="9">
        <f>COPELEC!U8/1000</f>
        <v>0.10846961994341596</v>
      </c>
      <c r="H14" s="127">
        <f>COPELEC!H8/1000</f>
        <v>14.955286471895764</v>
      </c>
      <c r="I14" s="109">
        <f t="shared" si="0"/>
        <v>790200.97985728283</v>
      </c>
      <c r="J14" s="110">
        <f t="shared" si="1"/>
        <v>610584.68253153609</v>
      </c>
      <c r="K14" s="110">
        <v>40879.727247520816</v>
      </c>
      <c r="L14" s="111">
        <f t="shared" si="2"/>
        <v>95933.008730525165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VLOOKUP($C15,Px!$B$13:$N$16,9,0)</f>
        <v>5699.5050912964716</v>
      </c>
      <c r="E15" s="97">
        <f>VLOOKUP($C15,Px!$B$13:$N$16,10,0)</f>
        <v>55.290519221267935</v>
      </c>
      <c r="F15" s="55">
        <f>Px!N15</f>
        <v>6.4146553735900778</v>
      </c>
      <c r="G15" s="9">
        <f>COPELEC!T8/1000</f>
        <v>0.12610419625547775</v>
      </c>
      <c r="H15" s="127">
        <f>COPELEC!E8/1000</f>
        <v>17.386659797394355</v>
      </c>
      <c r="I15" s="109">
        <f>H15*E15*1000</f>
        <v>961317.44772147911</v>
      </c>
      <c r="J15" s="110">
        <f>G15*D15*1000</f>
        <v>718731.50859194493</v>
      </c>
      <c r="K15" s="110">
        <v>63368.338660879825</v>
      </c>
      <c r="L15" s="111">
        <f>H15*F15*1000</f>
        <v>111529.43069813827</v>
      </c>
    </row>
    <row r="16" spans="1:15" x14ac:dyDescent="0.25">
      <c r="A16" t="s">
        <v>44</v>
      </c>
      <c r="B16" t="s">
        <v>11</v>
      </c>
      <c r="C16" t="s">
        <v>77</v>
      </c>
      <c r="D16" s="101">
        <f>VLOOKUP($C16,Px!$B$13:$N$16,9,0)</f>
        <v>5405.3297587644292</v>
      </c>
      <c r="E16" s="102">
        <f>VLOOKUP($C16,Px!$B$13:$N$16,10,0)</f>
        <v>54.599387731002089</v>
      </c>
      <c r="F16" s="103">
        <v>6.4146553735900778</v>
      </c>
      <c r="G16" s="99">
        <f>COPELEC!W8/1000</f>
        <v>4.1539063835590671E-3</v>
      </c>
      <c r="H16" s="128">
        <f>COPELEC!N8/1000</f>
        <v>0.5727212833968558</v>
      </c>
      <c r="I16" s="104">
        <f>H16*E16*1000</f>
        <v>31270.231413982059</v>
      </c>
      <c r="J16" s="105">
        <f>G16*D16*1000</f>
        <v>22453.233790173352</v>
      </c>
      <c r="K16" s="105">
        <v>34948.125710820917</v>
      </c>
      <c r="L16" s="105">
        <f>H16*F16*1000</f>
        <v>3673.8096581110467</v>
      </c>
      <c r="M16" s="112"/>
    </row>
    <row r="17" spans="1:15" ht="14.4" x14ac:dyDescent="0.3">
      <c r="A17" s="18"/>
      <c r="B17" s="18"/>
      <c r="C17" s="18"/>
      <c r="D17" s="18"/>
      <c r="E17" s="52"/>
      <c r="F17" s="98" t="s">
        <v>12</v>
      </c>
      <c r="G17" s="121">
        <f>SUM(G5:G16)</f>
        <v>3.7537826886405949</v>
      </c>
      <c r="H17" s="145">
        <f t="shared" ref="H17:K17" si="6">SUM(H5:H16)</f>
        <v>2061.3830168395179</v>
      </c>
      <c r="I17" s="119">
        <f>SUM(I5:I16)</f>
        <v>108928456.92538193</v>
      </c>
      <c r="J17" s="119">
        <f>SUM(J5:J16)</f>
        <v>20719105.295492884</v>
      </c>
      <c r="K17" s="119">
        <f t="shared" si="6"/>
        <v>139196.19161922156</v>
      </c>
      <c r="L17" s="120">
        <f>SUM(L5:L16)</f>
        <v>10628749.984069223</v>
      </c>
    </row>
    <row r="19" spans="1:15" x14ac:dyDescent="0.25">
      <c r="E19" s="11" t="s">
        <v>74</v>
      </c>
      <c r="F19" t="s">
        <v>75</v>
      </c>
    </row>
    <row r="23" spans="1:15" ht="13.8" x14ac:dyDescent="0.25">
      <c r="I23" s="78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topLeftCell="D1" workbookViewId="0">
      <selection activeCell="T19" sqref="T19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86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77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77</v>
      </c>
      <c r="T5" s="43" t="s">
        <v>16</v>
      </c>
      <c r="U5" s="44" t="s">
        <v>43</v>
      </c>
      <c r="V5" s="44" t="s">
        <v>42</v>
      </c>
      <c r="W5" s="44" t="s">
        <v>77</v>
      </c>
      <c r="AA5" s="37"/>
    </row>
    <row r="6" spans="1:27" ht="14.4" x14ac:dyDescent="0.3">
      <c r="A6" s="45" t="s">
        <v>53</v>
      </c>
      <c r="B6" s="46" t="s">
        <v>54</v>
      </c>
      <c r="C6" s="74">
        <v>20348.84356772757</v>
      </c>
      <c r="D6" s="75">
        <v>0</v>
      </c>
      <c r="E6" s="75">
        <v>0</v>
      </c>
      <c r="F6" s="75">
        <v>17625.108869609263</v>
      </c>
      <c r="G6" s="75">
        <v>0</v>
      </c>
      <c r="H6" s="75">
        <v>0</v>
      </c>
      <c r="I6" s="75">
        <v>566739.9800954056</v>
      </c>
      <c r="J6" s="75">
        <v>0</v>
      </c>
      <c r="K6" s="76">
        <v>0</v>
      </c>
      <c r="L6" s="75">
        <v>681.34319713118441</v>
      </c>
      <c r="M6" s="75">
        <v>0</v>
      </c>
      <c r="N6" s="76">
        <v>0</v>
      </c>
      <c r="O6" s="73">
        <v>605395.27572987357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74">
        <v>0</v>
      </c>
      <c r="D7" s="75">
        <v>31537.573874293117</v>
      </c>
      <c r="E7" s="75">
        <v>0</v>
      </c>
      <c r="F7" s="75">
        <v>0</v>
      </c>
      <c r="G7" s="75">
        <v>27162.891678567994</v>
      </c>
      <c r="H7" s="75">
        <v>0</v>
      </c>
      <c r="I7" s="75">
        <v>0</v>
      </c>
      <c r="J7" s="75">
        <v>878675.42009485967</v>
      </c>
      <c r="K7" s="76">
        <v>0</v>
      </c>
      <c r="L7" s="75">
        <v>0</v>
      </c>
      <c r="M7" s="75">
        <v>1057.7652830468865</v>
      </c>
      <c r="N7" s="76">
        <v>0</v>
      </c>
      <c r="O7" s="73">
        <v>938433.65093076765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74">
        <v>0</v>
      </c>
      <c r="D8" s="75">
        <v>0</v>
      </c>
      <c r="E8" s="75">
        <v>17386.659797394354</v>
      </c>
      <c r="F8" s="75">
        <v>0</v>
      </c>
      <c r="G8" s="75">
        <v>0</v>
      </c>
      <c r="H8" s="75">
        <v>14955.286471895764</v>
      </c>
      <c r="I8" s="75">
        <v>0</v>
      </c>
      <c r="J8" s="75">
        <v>0</v>
      </c>
      <c r="K8" s="76">
        <v>484639.42262618983</v>
      </c>
      <c r="L8" s="75">
        <v>0</v>
      </c>
      <c r="M8" s="75">
        <v>0</v>
      </c>
      <c r="N8" s="76">
        <v>572.72128339685582</v>
      </c>
      <c r="O8" s="73">
        <v>517554.09017887682</v>
      </c>
      <c r="P8" s="47">
        <v>3.7846161863659138E-3</v>
      </c>
      <c r="Q8" s="48">
        <v>3.2553704916776617E-3</v>
      </c>
      <c r="R8" s="48">
        <v>0.10549318988210644</v>
      </c>
      <c r="S8" s="48">
        <v>1.2466628234969183E-4</v>
      </c>
      <c r="T8" s="49">
        <v>126.10419625547776</v>
      </c>
      <c r="U8" s="49">
        <v>108.46961994341596</v>
      </c>
      <c r="V8" s="49">
        <v>3515.0549660581419</v>
      </c>
      <c r="W8" s="49">
        <v>4.1539063835590673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topLeftCell="A2" zoomScaleNormal="100" workbookViewId="0">
      <selection activeCell="H15" sqref="H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93"/>
      <c r="F3" s="22"/>
      <c r="G3" s="92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93"/>
      <c r="F4" s="22"/>
      <c r="G4" s="92"/>
      <c r="H4" s="124" t="s">
        <v>80</v>
      </c>
      <c r="I4" s="124" t="s">
        <v>79</v>
      </c>
      <c r="J4" s="124" t="s">
        <v>83</v>
      </c>
      <c r="K4" s="124" t="s">
        <v>84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76</v>
      </c>
      <c r="H5" s="114">
        <v>3.3449466699414958</v>
      </c>
      <c r="I5" s="122">
        <v>3.37</v>
      </c>
      <c r="J5" s="115">
        <v>3.3700316074714429</v>
      </c>
      <c r="K5" s="115">
        <v>3.3700316074714429</v>
      </c>
    </row>
    <row r="6" spans="1:15" ht="13.8" x14ac:dyDescent="0.3">
      <c r="A6" s="23" t="s">
        <v>26</v>
      </c>
      <c r="B6" s="22"/>
      <c r="C6" s="22">
        <v>779.31</v>
      </c>
      <c r="D6" s="24" t="s">
        <v>81</v>
      </c>
      <c r="E6" s="22"/>
      <c r="F6" s="22"/>
      <c r="G6" s="88" t="s">
        <v>72</v>
      </c>
      <c r="H6" s="115">
        <v>0.87534183766412499</v>
      </c>
      <c r="I6" s="123">
        <v>0.83829503674262562</v>
      </c>
      <c r="J6" s="115">
        <v>0.87942121205570145</v>
      </c>
      <c r="K6" s="115">
        <v>0.87943198434289549</v>
      </c>
    </row>
    <row r="7" spans="1:15" ht="13.8" x14ac:dyDescent="0.3">
      <c r="A7" s="23" t="s">
        <v>27</v>
      </c>
      <c r="B7" s="22"/>
      <c r="C7" s="117">
        <v>257.13600000000002</v>
      </c>
      <c r="D7" s="24"/>
      <c r="E7" s="22"/>
      <c r="F7" s="22"/>
      <c r="G7" s="89" t="s">
        <v>73</v>
      </c>
      <c r="H7" s="116">
        <v>0.913295382872503</v>
      </c>
      <c r="I7" s="100">
        <v>0.80379824892460383</v>
      </c>
      <c r="J7" s="116">
        <v>0.80379756382292911</v>
      </c>
      <c r="K7" s="116">
        <v>0.80379756382292911</v>
      </c>
      <c r="O7" s="72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72"/>
    </row>
    <row r="9" spans="1:15" ht="13.8" x14ac:dyDescent="0.3">
      <c r="A9" s="25" t="s">
        <v>30</v>
      </c>
      <c r="B9" s="26"/>
      <c r="C9" s="30"/>
      <c r="D9" s="31" t="s">
        <v>68</v>
      </c>
      <c r="E9" s="22"/>
      <c r="F9" s="22"/>
      <c r="G9" s="22"/>
      <c r="O9" s="72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6"/>
      <c r="J11" s="58"/>
      <c r="L11" s="59" t="s">
        <v>9</v>
      </c>
      <c r="M11" s="59" t="s">
        <v>10</v>
      </c>
      <c r="N11" s="60" t="s">
        <v>11</v>
      </c>
    </row>
    <row r="12" spans="1:15" ht="27.6" x14ac:dyDescent="0.25">
      <c r="A12" s="61" t="s">
        <v>58</v>
      </c>
      <c r="B12" s="61" t="s">
        <v>31</v>
      </c>
      <c r="C12" s="61" t="s">
        <v>59</v>
      </c>
      <c r="D12" s="61" t="s">
        <v>32</v>
      </c>
      <c r="E12" s="61" t="s">
        <v>71</v>
      </c>
      <c r="F12" s="61" t="s">
        <v>33</v>
      </c>
      <c r="G12" s="61" t="s">
        <v>34</v>
      </c>
      <c r="H12" s="61" t="s">
        <v>35</v>
      </c>
      <c r="I12" s="61" t="s">
        <v>36</v>
      </c>
      <c r="J12" s="94" t="s">
        <v>36</v>
      </c>
      <c r="K12" s="95" t="s">
        <v>60</v>
      </c>
      <c r="L12" s="61" t="s">
        <v>61</v>
      </c>
      <c r="M12" s="61" t="s">
        <v>62</v>
      </c>
      <c r="N12" s="62" t="s">
        <v>63</v>
      </c>
    </row>
    <row r="13" spans="1:15" ht="13.8" x14ac:dyDescent="0.3">
      <c r="A13" s="22" t="s">
        <v>64</v>
      </c>
      <c r="B13" s="22" t="s">
        <v>42</v>
      </c>
      <c r="C13" s="63" t="s">
        <v>65</v>
      </c>
      <c r="D13" s="64">
        <v>0.93120000000000003</v>
      </c>
      <c r="E13" s="64">
        <v>0.97019999999999995</v>
      </c>
      <c r="F13" s="65">
        <f>($C$3*$C$7/$C$8-$J$5)*D13</f>
        <v>76.971741437890671</v>
      </c>
      <c r="G13" s="65">
        <f>$C$4*$C$7/$C$8*E13</f>
        <v>8.7959110517059358</v>
      </c>
      <c r="H13" s="65">
        <f>F13*$C$6/1000</f>
        <v>59.984847819962575</v>
      </c>
      <c r="I13" s="87">
        <f>G13*$C$6</f>
        <v>6854.7414417049522</v>
      </c>
      <c r="J13" s="118">
        <f>I13*$K$7</f>
        <v>5509.8244714785133</v>
      </c>
      <c r="K13" s="66">
        <f>H13*$K$6</f>
        <v>52.752593748816295</v>
      </c>
      <c r="L13" s="67">
        <v>2.5992705791524648</v>
      </c>
      <c r="M13" s="67">
        <v>6.1114951746762607</v>
      </c>
      <c r="N13" s="66">
        <v>6.4146553735900778</v>
      </c>
    </row>
    <row r="14" spans="1:15" ht="13.8" x14ac:dyDescent="0.3">
      <c r="A14" s="22" t="s">
        <v>64</v>
      </c>
      <c r="B14" s="22" t="s">
        <v>43</v>
      </c>
      <c r="C14" s="63" t="s">
        <v>66</v>
      </c>
      <c r="D14" s="64">
        <v>0.93269999999999997</v>
      </c>
      <c r="E14" s="64">
        <v>0.99119999999999997</v>
      </c>
      <c r="F14" s="65">
        <f t="shared" ref="F14:F16" si="0">($C$3*$C$7/$C$8-$J$5)*D14</f>
        <v>77.095729423454273</v>
      </c>
      <c r="G14" s="65">
        <f t="shared" ref="G14:G15" si="1">$C$4*$C$7/$C$8*E14</f>
        <v>8.9862987368077949</v>
      </c>
      <c r="H14" s="65">
        <f t="shared" ref="H14:H15" si="2">F14*$C$6/1000</f>
        <v>60.081472896992139</v>
      </c>
      <c r="I14" s="87">
        <f t="shared" ref="I14:I15" si="3">G14*$C$6</f>
        <v>7003.1124685816822</v>
      </c>
      <c r="J14" s="118">
        <f t="shared" ref="J14:J16" si="4">I14*$K$7</f>
        <v>5629.0847414239352</v>
      </c>
      <c r="K14" s="66">
        <f t="shared" ref="K14:K16" si="5">H14*$K$6</f>
        <v>52.837568932045691</v>
      </c>
      <c r="L14" s="67">
        <v>2.5992705791524648</v>
      </c>
      <c r="M14" s="67">
        <v>6.1114951746762607</v>
      </c>
      <c r="N14" s="66">
        <v>6.4146553735900778</v>
      </c>
    </row>
    <row r="15" spans="1:15" ht="13.8" x14ac:dyDescent="0.3">
      <c r="A15" s="22" t="s">
        <v>64</v>
      </c>
      <c r="B15" s="22" t="s">
        <v>16</v>
      </c>
      <c r="C15" s="63" t="s">
        <v>67</v>
      </c>
      <c r="D15" s="64">
        <v>0.97599999999999998</v>
      </c>
      <c r="E15" s="64">
        <v>1.0036</v>
      </c>
      <c r="F15" s="65">
        <f t="shared" si="0"/>
        <v>80.674849273390564</v>
      </c>
      <c r="G15" s="65">
        <f t="shared" si="1"/>
        <v>9.0987181318203234</v>
      </c>
      <c r="H15" s="65">
        <f t="shared" si="2"/>
        <v>62.870716787245996</v>
      </c>
      <c r="I15" s="87">
        <f t="shared" si="3"/>
        <v>7090.722027308896</v>
      </c>
      <c r="J15" s="118">
        <f t="shared" si="4"/>
        <v>5699.5050912964716</v>
      </c>
      <c r="K15" s="66">
        <f t="shared" si="5"/>
        <v>55.290519221267935</v>
      </c>
      <c r="L15" s="67">
        <v>2.5992705791524648</v>
      </c>
      <c r="M15" s="67">
        <v>6.1114951746762607</v>
      </c>
      <c r="N15" s="66">
        <v>6.4146553735900778</v>
      </c>
    </row>
    <row r="16" spans="1:15" ht="13.8" x14ac:dyDescent="0.3">
      <c r="A16" s="22" t="s">
        <v>64</v>
      </c>
      <c r="B16" s="22" t="s">
        <v>77</v>
      </c>
      <c r="C16" s="63" t="s">
        <v>78</v>
      </c>
      <c r="D16" s="64">
        <v>0.96379999999999999</v>
      </c>
      <c r="E16" s="64">
        <v>0.95179999999999998</v>
      </c>
      <c r="F16" s="65">
        <f t="shared" si="0"/>
        <v>79.666413657473186</v>
      </c>
      <c r="G16" s="65">
        <f>$C$4*$C$7/$C$8*E16</f>
        <v>8.6290951752357348</v>
      </c>
      <c r="H16" s="65">
        <f>F16*$C$6/1000</f>
        <v>62.084832827405421</v>
      </c>
      <c r="I16" s="87">
        <f>G16*$C$6</f>
        <v>6724.74016101296</v>
      </c>
      <c r="J16" s="118">
        <f t="shared" si="4"/>
        <v>5405.3297587644292</v>
      </c>
      <c r="K16" s="66">
        <f t="shared" si="5"/>
        <v>54.599387731002089</v>
      </c>
      <c r="L16" s="67">
        <v>2.5992705791524648</v>
      </c>
      <c r="M16" s="67">
        <v>6.1114951746762607</v>
      </c>
      <c r="N16" s="66">
        <v>6.4146553735900778</v>
      </c>
    </row>
    <row r="17" spans="4:11" ht="13.8" x14ac:dyDescent="0.3">
      <c r="E17" s="72"/>
      <c r="I17" s="72"/>
      <c r="K17" s="125"/>
    </row>
    <row r="18" spans="4:11" x14ac:dyDescent="0.25">
      <c r="E18" s="72"/>
      <c r="I18" s="72"/>
    </row>
    <row r="19" spans="4:11" ht="13.8" x14ac:dyDescent="0.3">
      <c r="D19" s="64"/>
      <c r="E19" s="72"/>
      <c r="F19" s="65"/>
      <c r="H19" s="65"/>
      <c r="I19" s="72"/>
      <c r="K19" s="66"/>
    </row>
    <row r="22" spans="4:11" x14ac:dyDescent="0.25">
      <c r="E22" s="113"/>
    </row>
    <row r="24" spans="4:11" ht="13.8" x14ac:dyDescent="0.3">
      <c r="I24" s="22"/>
    </row>
    <row r="25" spans="4:11" ht="13.8" x14ac:dyDescent="0.3">
      <c r="I25" s="22"/>
    </row>
    <row r="26" spans="4:11" ht="13.8" x14ac:dyDescent="0.3">
      <c r="I26" s="22"/>
    </row>
    <row r="27" spans="4:11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2020-11-10T18:22:19Z</dcterms:modified>
</cp:coreProperties>
</file>