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enelcom.sharepoint.com/sites/Movimientoenergia/Documentos compartidos/2 Compras Energia y Potencia/2021/Facturacion energia/01 Enero 2021/Cuadraturas MR/AELA/"/>
    </mc:Choice>
  </mc:AlternateContent>
  <xr:revisionPtr revIDLastSave="4" documentId="8_{4D0C3404-5656-42C6-AAE5-327BD02893E7}" xr6:coauthVersionLast="45" xr6:coauthVersionMax="46" xr10:uidLastSave="{48FC39C4-B533-45D3-AE5F-24F85FD80B40}"/>
  <bookViews>
    <workbookView xWindow="-120" yWindow="-120" windowWidth="29040" windowHeight="15840" activeTab="1" xr2:uid="{F2358186-0BE2-4736-A654-4A2DCED7D6D4}"/>
  </bookViews>
  <sheets>
    <sheet name="Montos facturar" sheetId="1" r:id="rId1"/>
    <sheet name="Px" sheetId="2" r:id="rId2"/>
    <sheet name="ENEL DX" sheetId="3" r:id="rId3"/>
  </sheets>
  <definedNames>
    <definedName name="_xlnm._FilterDatabase" localSheetId="0" hidden="1">'Montos facturar'!$A$3:$Q$26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30" i="1" l="1"/>
  <c r="M28" i="1"/>
  <c r="E25" i="1" l="1"/>
  <c r="O25" i="1" s="1"/>
  <c r="E24" i="1"/>
  <c r="O24" i="1" s="1"/>
  <c r="E23" i="1"/>
  <c r="O23" i="1" s="1"/>
  <c r="E22" i="1"/>
  <c r="O22" i="1" s="1"/>
  <c r="E21" i="1"/>
  <c r="O21" i="1" s="1"/>
  <c r="E20" i="1"/>
  <c r="O20" i="1" s="1"/>
  <c r="E19" i="1"/>
  <c r="O19" i="1" s="1"/>
  <c r="E18" i="1"/>
  <c r="O18" i="1" s="1"/>
  <c r="E17" i="1"/>
  <c r="O17" i="1" s="1"/>
  <c r="E16" i="1"/>
  <c r="O16" i="1" s="1"/>
  <c r="E15" i="1"/>
  <c r="O15" i="1" s="1"/>
  <c r="E14" i="1"/>
  <c r="O14" i="1" s="1"/>
  <c r="E13" i="1"/>
  <c r="O13" i="1" s="1"/>
  <c r="E12" i="1"/>
  <c r="O12" i="1" s="1"/>
  <c r="E11" i="1"/>
  <c r="O11" i="1" s="1"/>
  <c r="E10" i="1"/>
  <c r="O10" i="1" s="1"/>
  <c r="E9" i="1"/>
  <c r="O9" i="1" s="1"/>
  <c r="E8" i="1"/>
  <c r="O8" i="1" s="1"/>
  <c r="E7" i="1"/>
  <c r="O7" i="1" s="1"/>
  <c r="E6" i="1"/>
  <c r="O6" i="1" s="1"/>
  <c r="E5" i="1"/>
  <c r="O5" i="1" s="1"/>
  <c r="O26" i="1" l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K26" i="1"/>
  <c r="O14" i="2" l="1"/>
  <c r="O15" i="2"/>
  <c r="O16" i="2"/>
  <c r="O17" i="2"/>
  <c r="O18" i="2"/>
  <c r="O19" i="2"/>
  <c r="O13" i="2"/>
  <c r="N14" i="2"/>
  <c r="N15" i="2"/>
  <c r="N16" i="2"/>
  <c r="N17" i="2"/>
  <c r="N18" i="2"/>
  <c r="N19" i="2"/>
  <c r="N13" i="2"/>
  <c r="I25" i="1" l="1"/>
  <c r="I24" i="1"/>
  <c r="I23" i="1"/>
  <c r="I22" i="1"/>
  <c r="I21" i="1"/>
  <c r="I20" i="1"/>
  <c r="I19" i="1"/>
  <c r="K25" i="1"/>
  <c r="M25" i="1" s="1"/>
  <c r="K24" i="1"/>
  <c r="M24" i="1" s="1"/>
  <c r="K23" i="1"/>
  <c r="M23" i="1" s="1"/>
  <c r="K22" i="1"/>
  <c r="M22" i="1" s="1"/>
  <c r="K21" i="1"/>
  <c r="M21" i="1" s="1"/>
  <c r="K20" i="1"/>
  <c r="M20" i="1" s="1"/>
  <c r="K19" i="1"/>
  <c r="M19" i="1" s="1"/>
  <c r="K18" i="1"/>
  <c r="M18" i="1" s="1"/>
  <c r="K17" i="1"/>
  <c r="M17" i="1" s="1"/>
  <c r="K16" i="1"/>
  <c r="M16" i="1" s="1"/>
  <c r="K15" i="1"/>
  <c r="M15" i="1" s="1"/>
  <c r="K14" i="1"/>
  <c r="M14" i="1" s="1"/>
  <c r="K13" i="1"/>
  <c r="M13" i="1" s="1"/>
  <c r="K12" i="1"/>
  <c r="M12" i="1" s="1"/>
  <c r="K11" i="1"/>
  <c r="M11" i="1" s="1"/>
  <c r="K10" i="1"/>
  <c r="M10" i="1" s="1"/>
  <c r="K9" i="1"/>
  <c r="M9" i="1" s="1"/>
  <c r="K8" i="1"/>
  <c r="M8" i="1" s="1"/>
  <c r="K7" i="1"/>
  <c r="M7" i="1" s="1"/>
  <c r="K6" i="1"/>
  <c r="M6" i="1" s="1"/>
  <c r="K5" i="1"/>
  <c r="M5" i="1" s="1"/>
  <c r="D17" i="1"/>
  <c r="N17" i="1" s="1"/>
  <c r="D11" i="1"/>
  <c r="N11" i="1" s="1"/>
  <c r="F14" i="2"/>
  <c r="F15" i="2"/>
  <c r="F16" i="2"/>
  <c r="F17" i="2"/>
  <c r="H17" i="2" s="1"/>
  <c r="K17" i="2" s="1"/>
  <c r="F18" i="2"/>
  <c r="H18" i="2" s="1"/>
  <c r="K18" i="2" s="1"/>
  <c r="F24" i="1" s="1"/>
  <c r="F19" i="2"/>
  <c r="H19" i="2" s="1"/>
  <c r="K19" i="2" s="1"/>
  <c r="F18" i="1" s="1"/>
  <c r="F13" i="2"/>
  <c r="G17" i="2"/>
  <c r="I17" i="2" s="1"/>
  <c r="J17" i="2" s="1"/>
  <c r="D16" i="1" s="1"/>
  <c r="N16" i="1" s="1"/>
  <c r="G18" i="2"/>
  <c r="I18" i="2" s="1"/>
  <c r="J18" i="2" s="1"/>
  <c r="D24" i="1" s="1"/>
  <c r="G19" i="2"/>
  <c r="I19" i="2" s="1"/>
  <c r="J19" i="2" s="1"/>
  <c r="D18" i="1" s="1"/>
  <c r="N18" i="1" s="1"/>
  <c r="R8" i="3"/>
  <c r="R7" i="3"/>
  <c r="R6" i="3"/>
  <c r="J8" i="3"/>
  <c r="J7" i="3"/>
  <c r="J6" i="3"/>
  <c r="M26" i="1" l="1"/>
  <c r="M29" i="1" s="1"/>
  <c r="L18" i="1"/>
  <c r="F16" i="1"/>
  <c r="L16" i="1" s="1"/>
  <c r="F23" i="1"/>
  <c r="L23" i="1" s="1"/>
  <c r="F9" i="1"/>
  <c r="L9" i="1" s="1"/>
  <c r="D9" i="1"/>
  <c r="N9" i="1" s="1"/>
  <c r="D23" i="1"/>
  <c r="N23" i="1" s="1"/>
  <c r="D25" i="1"/>
  <c r="N25" i="1" s="1"/>
  <c r="N24" i="1"/>
  <c r="F11" i="1"/>
  <c r="L11" i="1" s="1"/>
  <c r="F17" i="1"/>
  <c r="L17" i="1" s="1"/>
  <c r="F25" i="1"/>
  <c r="L25" i="1" s="1"/>
  <c r="L24" i="1"/>
  <c r="D10" i="1"/>
  <c r="N10" i="1" s="1"/>
  <c r="F10" i="1"/>
  <c r="L10" i="1" s="1"/>
  <c r="P26" i="1" l="1"/>
  <c r="T7" i="1" s="1"/>
  <c r="H13" i="2" l="1"/>
  <c r="K13" i="2" s="1"/>
  <c r="F12" i="1" l="1"/>
  <c r="L12" i="1" s="1"/>
  <c r="F5" i="1"/>
  <c r="L5" i="1" s="1"/>
  <c r="F19" i="1"/>
  <c r="L19" i="1" s="1"/>
  <c r="G16" i="2"/>
  <c r="I16" i="2" s="1"/>
  <c r="J16" i="2" s="1"/>
  <c r="H16" i="2"/>
  <c r="K16" i="2" s="1"/>
  <c r="D22" i="1" l="1"/>
  <c r="N22" i="1" s="1"/>
  <c r="D8" i="1"/>
  <c r="N8" i="1" s="1"/>
  <c r="D15" i="1"/>
  <c r="N15" i="1" s="1"/>
  <c r="F22" i="1"/>
  <c r="L22" i="1" s="1"/>
  <c r="F8" i="1"/>
  <c r="L8" i="1" s="1"/>
  <c r="F15" i="1"/>
  <c r="L15" i="1" s="1"/>
  <c r="H14" i="2"/>
  <c r="K14" i="2" s="1"/>
  <c r="H15" i="2"/>
  <c r="K15" i="2" s="1"/>
  <c r="F14" i="1" l="1"/>
  <c r="L14" i="1" s="1"/>
  <c r="F21" i="1"/>
  <c r="L21" i="1" s="1"/>
  <c r="F7" i="1"/>
  <c r="L7" i="1" s="1"/>
  <c r="F20" i="1"/>
  <c r="L20" i="1" s="1"/>
  <c r="F6" i="1"/>
  <c r="L6" i="1" s="1"/>
  <c r="F13" i="1"/>
  <c r="L13" i="1" s="1"/>
  <c r="G14" i="2"/>
  <c r="I14" i="2" s="1"/>
  <c r="J14" i="2" s="1"/>
  <c r="G15" i="2"/>
  <c r="I15" i="2" s="1"/>
  <c r="J15" i="2" s="1"/>
  <c r="G13" i="2"/>
  <c r="D14" i="1" l="1"/>
  <c r="N14" i="1" s="1"/>
  <c r="D21" i="1"/>
  <c r="N21" i="1" s="1"/>
  <c r="D7" i="1"/>
  <c r="N7" i="1" s="1"/>
  <c r="D20" i="1"/>
  <c r="N20" i="1" s="1"/>
  <c r="D6" i="1"/>
  <c r="N6" i="1" s="1"/>
  <c r="D13" i="1"/>
  <c r="N13" i="1" s="1"/>
  <c r="I13" i="2"/>
  <c r="J13" i="2" s="1"/>
  <c r="D12" i="1" l="1"/>
  <c r="N12" i="1" s="1"/>
  <c r="D5" i="1"/>
  <c r="N5" i="1" s="1"/>
  <c r="D19" i="1"/>
  <c r="N19" i="1" s="1"/>
  <c r="I26" i="1"/>
  <c r="J26" i="1"/>
  <c r="N26" i="1" l="1"/>
  <c r="T6" i="1" s="1"/>
  <c r="L26" i="1"/>
  <c r="T5" i="1" s="1"/>
  <c r="Q26" i="1"/>
  <c r="T8" i="1" s="1"/>
  <c r="T9" i="1" l="1"/>
</calcChain>
</file>

<file path=xl/sharedStrings.xml><?xml version="1.0" encoding="utf-8"?>
<sst xmlns="http://schemas.openxmlformats.org/spreadsheetml/2006/main" count="233" uniqueCount="111">
  <si>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</si>
  <si>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</si>
  <si>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</si>
  <si>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</si>
  <si>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</si>
  <si>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</si>
  <si>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</si>
  <si>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</si>
  <si>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[MWh]</t>
  </si>
  <si>
    <t>BS4A</t>
  </si>
  <si>
    <t>BS4B</t>
  </si>
  <si>
    <t>BS4C</t>
  </si>
  <si>
    <t>Total</t>
  </si>
  <si>
    <t>Reactive Energy</t>
  </si>
  <si>
    <t>[$]</t>
  </si>
  <si>
    <t>Dx.</t>
  </si>
  <si>
    <t>Alto Jahuel 220</t>
  </si>
  <si>
    <t>Factura</t>
  </si>
  <si>
    <t>Concepto</t>
  </si>
  <si>
    <t>Valor</t>
  </si>
  <si>
    <t>Fuente</t>
  </si>
  <si>
    <t>Energia</t>
  </si>
  <si>
    <t>US$/MWh</t>
  </si>
  <si>
    <t>PPA</t>
  </si>
  <si>
    <t>Potencia</t>
  </si>
  <si>
    <t>US$/kW/mes</t>
  </si>
  <si>
    <t>TC</t>
  </si>
  <si>
    <t>CPI</t>
  </si>
  <si>
    <t>CPI0</t>
  </si>
  <si>
    <t>(Feb-15 - Jul-15)</t>
  </si>
  <si>
    <t>Factores modulación</t>
  </si>
  <si>
    <t>Punto Compra</t>
  </si>
  <si>
    <t>Fmodulacion E</t>
  </si>
  <si>
    <t>Energia [US$/MWh]</t>
  </si>
  <si>
    <t>Potencia [US$/MWh]</t>
  </si>
  <si>
    <t>Energia [$/kWh]</t>
  </si>
  <si>
    <t>Potencia [$/kWh]</t>
  </si>
  <si>
    <t>REACTIVO</t>
  </si>
  <si>
    <t>ENERGÍA</t>
  </si>
  <si>
    <t>MES</t>
  </si>
  <si>
    <t>AAT</t>
  </si>
  <si>
    <t>Generador</t>
  </si>
  <si>
    <t>BLOQUE</t>
  </si>
  <si>
    <t>Aela Generación S.A.</t>
  </si>
  <si>
    <t>4-A</t>
  </si>
  <si>
    <t>4-B</t>
  </si>
  <si>
    <t>4-C</t>
  </si>
  <si>
    <t>[$/KWh]</t>
  </si>
  <si>
    <t>Distribuidora</t>
  </si>
  <si>
    <t>Corr</t>
  </si>
  <si>
    <t>Energía [$/kWh]</t>
  </si>
  <si>
    <t xml:space="preserve">[MW] </t>
  </si>
  <si>
    <t>Facturación con Factor</t>
  </si>
  <si>
    <t>Fmodulacion P</t>
  </si>
  <si>
    <t xml:space="preserve">Factor Ajuste Energía </t>
  </si>
  <si>
    <t>Factor Ajuste Potencia</t>
  </si>
  <si>
    <t xml:space="preserve">Nota: </t>
  </si>
  <si>
    <t>El Precio de la energía incluye el descuento por CET</t>
  </si>
  <si>
    <t>CET [USD/MWh]</t>
  </si>
  <si>
    <t xml:space="preserve"> ITD Enero 2020</t>
  </si>
  <si>
    <t>Conceptos</t>
  </si>
  <si>
    <t>Enero</t>
  </si>
  <si>
    <t>Enel Dx</t>
  </si>
  <si>
    <t>Cerro Navia 220</t>
  </si>
  <si>
    <t>Chena 220</t>
  </si>
  <si>
    <t>Los Maquis 220</t>
  </si>
  <si>
    <t>Nogales 220</t>
  </si>
  <si>
    <t>Polpaico 220</t>
  </si>
  <si>
    <t>Quillota 220</t>
  </si>
  <si>
    <t>Energía Kwh</t>
  </si>
  <si>
    <t>Potencia kW-mes</t>
  </si>
  <si>
    <t>ENEL Dx</t>
  </si>
  <si>
    <t>PNP 2T-20 (abr-20 a sep-20)</t>
  </si>
  <si>
    <t>9T/2019</t>
  </si>
  <si>
    <t>Active Energy: 11.538.559 kWh</t>
  </si>
  <si>
    <t>Capacity: 6.912 kW</t>
  </si>
  <si>
    <t>MAR19-SEPT19</t>
  </si>
  <si>
    <t>FACTORES DE AJUSTE PNP</t>
  </si>
  <si>
    <t>PNP_ene20</t>
  </si>
  <si>
    <t>CET</t>
  </si>
  <si>
    <t>Precio Energía</t>
  </si>
  <si>
    <t>Precio Potencia</t>
  </si>
  <si>
    <t>Precio (Según Ley 21.185) [$/kWh]</t>
  </si>
  <si>
    <t>Precio (Según Ley 21.185) [$/kW/mes]</t>
  </si>
  <si>
    <t>US$/kW-mes</t>
  </si>
  <si>
    <t>$/kWh</t>
  </si>
  <si>
    <t>$/kW-mes</t>
  </si>
  <si>
    <t>AELA_A</t>
  </si>
  <si>
    <t>POLPAICO_220</t>
  </si>
  <si>
    <t>AELA_A_POLPAICO_220</t>
  </si>
  <si>
    <t>ALTO_JAHUEL_220</t>
  </si>
  <si>
    <t>AELA_A_ALTO_JAHUEL_220</t>
  </si>
  <si>
    <t>CERRO_NAVIA_220</t>
  </si>
  <si>
    <t>AELA_A_CERRO_NAVIA_220</t>
  </si>
  <si>
    <t>CHENA_220</t>
  </si>
  <si>
    <t>AELA_A_CHENA_220</t>
  </si>
  <si>
    <t>LOS_MAQUIS_220</t>
  </si>
  <si>
    <t>AELA_A_LOS_MAQUIS_220</t>
  </si>
  <si>
    <t>NOGALES_220</t>
  </si>
  <si>
    <t>AELA_A_NOGALES_220</t>
  </si>
  <si>
    <t>QUILLOTA_220</t>
  </si>
  <si>
    <t>AELA_A_QUILLOTA_220</t>
  </si>
  <si>
    <t>P.ENERGIA ENEL</t>
  </si>
  <si>
    <t>P.POTENCIA ENEL</t>
  </si>
  <si>
    <t>dif E</t>
  </si>
  <si>
    <t>dif P</t>
  </si>
  <si>
    <t>PRECIO ENERGÍA ENEL</t>
  </si>
  <si>
    <t>Redondear Sin decimales</t>
  </si>
  <si>
    <t>Redondear 3 decimales</t>
  </si>
  <si>
    <t>Redondear 4 decimales</t>
  </si>
  <si>
    <t>Precio decreto 6T AELA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</si>
</sst>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0.0000"/>
    <numFmt numFmtId="165" formatCode="0.000"/>
    <numFmt numFmtId="166" formatCode="#,##0.0000"/>
    <numFmt numFmtId="167" formatCode="#,##0.000"/>
    <numFmt numFmtId="168" formatCode="0.000000"/>
    <numFmt numFmtId="169" formatCode="_-* #,##0.000_-;\-* #,##0.000_-;_-* &quot;-&quot;??_-;_-@_-"/>
    <numFmt numFmtId="170" formatCode="_-* #,##0.0000_-;\-* #,##0.0000_-;_-* &quot;-&quot;??_-;_-@_-"/>
    <numFmt numFmtId="171" formatCode="0.000%"/>
    <numFmt numFmtId="172" formatCode="0.0000%"/>
  </numFmts>
  <fonts count="19" x14ac:knownFonts="1"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sz val="10"/>
      <color rgb="FF000000"/>
      <name val="Calibri"/>
      <family val="2"/>
    </font>
    <font>
      <sz val="10"/>
      <color rgb="FFA6A6A6"/>
      <name val="Calibri"/>
      <family val="2"/>
    </font>
    <font>
      <sz val="10"/>
      <color theme="0" tint="-0.34998626667073579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Century Gothic"/>
      <family val="2"/>
    </font>
    <font>
      <b/>
      <sz val="11"/>
      <color theme="0"/>
      <name val="Calibri"/>
      <family val="2"/>
      <scheme val="minor"/>
    </font>
    <font>
      <sz val="10"/>
      <color rgb="FFFF0000"/>
      <name val="Century Gothic"/>
      <family val="2"/>
    </font>
    <font>
      <b/>
      <sz val="10"/>
      <color rgb="FFFF0000"/>
      <name val="Calibri"/>
      <family val="2"/>
    </font>
    <font>
      <b/>
      <sz val="10"/>
      <color theme="0"/>
      <name val="Century Gothic"/>
      <family val="2"/>
    </font>
    <font>
      <b/>
      <sz val="10"/>
      <color rgb="FFFF0000"/>
      <name val="Century Gothic"/>
      <family val="2"/>
    </font>
  </fonts>
  <fills count="1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theme="7" tint="0.59999389629810485"/>
        <bgColor rgb="FFFFFFCC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9" fontId="13" fillId="0" borderId="0" applyFont="0" applyFill="0" applyBorder="0" applyAlignment="0" applyProtection="0"/>
  </cellStyleXfs>
  <cellXfs count="142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2" fontId="0" fillId="0" borderId="4" xfId="0" applyNumberFormat="1" applyBorder="1" applyAlignment="1">
      <alignment horizontal="center" vertical="center"/>
    </xf>
    <xf numFmtId="0" fontId="0" fillId="0" borderId="1" xfId="0" applyBorder="1"/>
    <xf numFmtId="2" fontId="0" fillId="0" borderId="0" xfId="0" applyNumberForma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1" fillId="0" borderId="6" xfId="0" applyFont="1" applyBorder="1" applyAlignment="1">
      <alignment horizontal="right"/>
    </xf>
    <xf numFmtId="3" fontId="1" fillId="0" borderId="6" xfId="0" applyNumberFormat="1" applyFont="1" applyBorder="1"/>
    <xf numFmtId="0" fontId="0" fillId="0" borderId="0" xfId="0" applyAlignment="1">
      <alignment vertical="center"/>
    </xf>
    <xf numFmtId="4" fontId="0" fillId="0" borderId="0" xfId="0" applyNumberFormat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0" fontId="0" fillId="0" borderId="6" xfId="0" applyBorder="1"/>
    <xf numFmtId="0" fontId="3" fillId="6" borderId="9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4" fillId="0" borderId="0" xfId="0" applyFont="1"/>
    <xf numFmtId="0" fontId="4" fillId="0" borderId="10" xfId="0" applyFont="1" applyBorder="1"/>
    <xf numFmtId="0" fontId="4" fillId="0" borderId="1" xfId="0" applyFont="1" applyBorder="1" applyAlignment="1">
      <alignment horizontal="center"/>
    </xf>
    <xf numFmtId="0" fontId="4" fillId="0" borderId="1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165" fontId="4" fillId="0" borderId="0" xfId="0" applyNumberFormat="1" applyFont="1"/>
    <xf numFmtId="0" fontId="4" fillId="7" borderId="1" xfId="0" applyFont="1" applyFill="1" applyBorder="1" applyAlignment="1">
      <alignment horizontal="center"/>
    </xf>
    <xf numFmtId="165" fontId="4" fillId="0" borderId="2" xfId="0" applyNumberFormat="1" applyFont="1" applyBorder="1"/>
    <xf numFmtId="0" fontId="4" fillId="7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7" fillId="8" borderId="0" xfId="0" applyFont="1" applyFill="1" applyAlignment="1">
      <alignment horizontal="center"/>
    </xf>
    <xf numFmtId="0" fontId="8" fillId="9" borderId="17" xfId="0" applyFont="1" applyFill="1" applyBorder="1" applyAlignment="1">
      <alignment horizontal="center" vertical="center"/>
    </xf>
    <xf numFmtId="0" fontId="8" fillId="9" borderId="18" xfId="0" applyFont="1" applyFill="1" applyBorder="1" applyAlignment="1">
      <alignment horizontal="center" vertical="center"/>
    </xf>
    <xf numFmtId="0" fontId="0" fillId="9" borderId="20" xfId="0" applyFill="1" applyBorder="1" applyAlignment="1">
      <alignment horizontal="center" vertical="center"/>
    </xf>
    <xf numFmtId="0" fontId="0" fillId="9" borderId="7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65" fontId="0" fillId="0" borderId="21" xfId="0" applyNumberFormat="1" applyBorder="1" applyAlignment="1">
      <alignment horizontal="center" vertical="center"/>
    </xf>
    <xf numFmtId="165" fontId="0" fillId="0" borderId="22" xfId="0" applyNumberFormat="1" applyBorder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9" fillId="0" borderId="1" xfId="0" applyFont="1" applyBorder="1"/>
    <xf numFmtId="0" fontId="6" fillId="6" borderId="2" xfId="0" applyFont="1" applyFill="1" applyBorder="1" applyAlignment="1">
      <alignment horizontal="center" vertical="center" wrapText="1"/>
    </xf>
    <xf numFmtId="0" fontId="11" fillId="0" borderId="0" xfId="0" applyFont="1"/>
    <xf numFmtId="166" fontId="4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horizontal="center"/>
    </xf>
    <xf numFmtId="167" fontId="4" fillId="0" borderId="1" xfId="0" applyNumberFormat="1" applyFont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" fillId="0" borderId="2" xfId="0" applyFont="1" applyFill="1" applyBorder="1" applyAlignment="1">
      <alignment vertical="center"/>
    </xf>
    <xf numFmtId="165" fontId="0" fillId="0" borderId="0" xfId="0" applyNumberFormat="1"/>
    <xf numFmtId="0" fontId="0" fillId="0" borderId="0" xfId="0" applyBorder="1" applyAlignment="1">
      <alignment vertical="center"/>
    </xf>
    <xf numFmtId="0" fontId="12" fillId="0" borderId="0" xfId="0" applyFont="1"/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9" fillId="0" borderId="0" xfId="0" applyFont="1" applyBorder="1"/>
    <xf numFmtId="4" fontId="4" fillId="0" borderId="0" xfId="0" applyNumberFormat="1" applyFont="1" applyAlignment="1">
      <alignment horizontal="center"/>
    </xf>
    <xf numFmtId="0" fontId="3" fillId="6" borderId="10" xfId="0" applyFont="1" applyFill="1" applyBorder="1" applyAlignment="1">
      <alignment horizontal="center"/>
    </xf>
    <xf numFmtId="0" fontId="3" fillId="6" borderId="11" xfId="0" applyFont="1" applyFill="1" applyBorder="1" applyAlignment="1">
      <alignment horizontal="center"/>
    </xf>
    <xf numFmtId="0" fontId="0" fillId="0" borderId="0" xfId="0" applyFill="1" applyBorder="1"/>
    <xf numFmtId="164" fontId="1" fillId="0" borderId="0" xfId="0" applyNumberFormat="1" applyFont="1" applyFill="1" applyBorder="1" applyAlignment="1">
      <alignment horizontal="center"/>
    </xf>
    <xf numFmtId="168" fontId="4" fillId="0" borderId="0" xfId="0" applyNumberFormat="1" applyFont="1"/>
    <xf numFmtId="164" fontId="4" fillId="0" borderId="0" xfId="0" applyNumberFormat="1" applyFont="1"/>
    <xf numFmtId="0" fontId="6" fillId="6" borderId="10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165" fontId="0" fillId="0" borderId="5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0" fontId="2" fillId="3" borderId="19" xfId="0" applyFont="1" applyFill="1" applyBorder="1" applyAlignment="1">
      <alignment horizontal="right"/>
    </xf>
    <xf numFmtId="2" fontId="0" fillId="0" borderId="11" xfId="0" applyNumberFormat="1" applyBorder="1" applyAlignment="1">
      <alignment horizontal="center" vertical="center"/>
    </xf>
    <xf numFmtId="165" fontId="0" fillId="0" borderId="2" xfId="0" applyNumberFormat="1" applyBorder="1" applyAlignment="1">
      <alignment horizontal="center" vertical="center"/>
    </xf>
    <xf numFmtId="165" fontId="0" fillId="0" borderId="11" xfId="0" applyNumberFormat="1" applyBorder="1" applyAlignment="1">
      <alignment horizontal="center" vertical="center"/>
    </xf>
    <xf numFmtId="3" fontId="0" fillId="0" borderId="11" xfId="0" applyNumberFormat="1" applyBorder="1" applyAlignment="1">
      <alignment horizontal="center"/>
    </xf>
    <xf numFmtId="3" fontId="0" fillId="0" borderId="2" xfId="0" applyNumberFormat="1" applyBorder="1" applyAlignment="1">
      <alignment horizontal="center"/>
    </xf>
    <xf numFmtId="3" fontId="0" fillId="0" borderId="9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0" xfId="0" applyBorder="1"/>
    <xf numFmtId="4" fontId="0" fillId="0" borderId="0" xfId="0" applyNumberFormat="1"/>
    <xf numFmtId="165" fontId="0" fillId="0" borderId="21" xfId="0" applyNumberFormat="1" applyBorder="1" applyAlignment="1">
      <alignment horizontal="center"/>
    </xf>
    <xf numFmtId="165" fontId="0" fillId="0" borderId="22" xfId="0" applyNumberFormat="1" applyBorder="1" applyAlignment="1">
      <alignment horizontal="center"/>
    </xf>
    <xf numFmtId="165" fontId="0" fillId="0" borderId="19" xfId="0" applyNumberFormat="1" applyBorder="1" applyAlignment="1">
      <alignment horizontal="center"/>
    </xf>
    <xf numFmtId="165" fontId="5" fillId="0" borderId="0" xfId="0" applyNumberFormat="1" applyFont="1"/>
    <xf numFmtId="3" fontId="2" fillId="3" borderId="2" xfId="0" applyNumberFormat="1" applyFont="1" applyFill="1" applyBorder="1" applyAlignment="1">
      <alignment horizontal="center" vertical="center"/>
    </xf>
    <xf numFmtId="3" fontId="2" fillId="3" borderId="8" xfId="0" applyNumberFormat="1" applyFont="1" applyFill="1" applyBorder="1" applyAlignment="1">
      <alignment horizontal="center" vertical="center"/>
    </xf>
    <xf numFmtId="0" fontId="6" fillId="6" borderId="16" xfId="0" applyFont="1" applyFill="1" applyBorder="1" applyAlignment="1">
      <alignment horizontal="center" vertical="center" wrapText="1"/>
    </xf>
    <xf numFmtId="3" fontId="0" fillId="0" borderId="0" xfId="0" applyNumberFormat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3" fontId="0" fillId="9" borderId="7" xfId="0" applyNumberFormat="1" applyFill="1" applyBorder="1" applyAlignment="1">
      <alignment horizontal="center" vertical="center"/>
    </xf>
    <xf numFmtId="3" fontId="1" fillId="10" borderId="19" xfId="0" applyNumberFormat="1" applyFont="1" applyFill="1" applyBorder="1" applyAlignment="1">
      <alignment horizontal="center" vertical="center"/>
    </xf>
    <xf numFmtId="3" fontId="1" fillId="10" borderId="16" xfId="0" applyNumberFormat="1" applyFont="1" applyFill="1" applyBorder="1" applyAlignment="1">
      <alignment horizontal="center" vertical="center"/>
    </xf>
    <xf numFmtId="0" fontId="8" fillId="12" borderId="23" xfId="0" applyFont="1" applyFill="1" applyBorder="1" applyAlignment="1">
      <alignment horizontal="center" vertical="center"/>
    </xf>
    <xf numFmtId="0" fontId="8" fillId="12" borderId="12" xfId="0" applyFont="1" applyFill="1" applyBorder="1" applyAlignment="1">
      <alignment horizontal="center" vertical="center"/>
    </xf>
    <xf numFmtId="0" fontId="8" fillId="12" borderId="24" xfId="0" applyFont="1" applyFill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" fontId="0" fillId="0" borderId="11" xfId="0" applyNumberFormat="1" applyBorder="1" applyAlignment="1">
      <alignment horizontal="center"/>
    </xf>
    <xf numFmtId="0" fontId="6" fillId="6" borderId="0" xfId="0" applyFont="1" applyFill="1" applyBorder="1" applyAlignment="1">
      <alignment horizontal="center" vertical="center" wrapText="1"/>
    </xf>
    <xf numFmtId="169" fontId="0" fillId="0" borderId="0" xfId="1" applyNumberFormat="1" applyFont="1"/>
    <xf numFmtId="170" fontId="0" fillId="0" borderId="0" xfId="1" applyNumberFormat="1" applyFont="1"/>
    <xf numFmtId="164" fontId="0" fillId="0" borderId="0" xfId="0" applyNumberFormat="1"/>
    <xf numFmtId="165" fontId="15" fillId="13" borderId="0" xfId="0" applyNumberFormat="1" applyFont="1" applyFill="1"/>
    <xf numFmtId="167" fontId="4" fillId="0" borderId="10" xfId="0" applyNumberFormat="1" applyFont="1" applyBorder="1" applyAlignment="1">
      <alignment horizontal="center"/>
    </xf>
    <xf numFmtId="0" fontId="16" fillId="13" borderId="0" xfId="0" applyFont="1" applyFill="1" applyBorder="1" applyAlignment="1">
      <alignment horizontal="center" vertical="center" wrapText="1"/>
    </xf>
    <xf numFmtId="171" fontId="0" fillId="0" borderId="0" xfId="2" applyNumberFormat="1" applyFont="1"/>
    <xf numFmtId="172" fontId="0" fillId="0" borderId="0" xfId="2" applyNumberFormat="1" applyFont="1"/>
    <xf numFmtId="0" fontId="17" fillId="14" borderId="1" xfId="0" applyFont="1" applyFill="1" applyBorder="1" applyAlignment="1">
      <alignment horizontal="center" vertical="center"/>
    </xf>
    <xf numFmtId="0" fontId="17" fillId="14" borderId="3" xfId="0" applyFont="1" applyFill="1" applyBorder="1" applyAlignment="1">
      <alignment horizontal="center" vertical="center"/>
    </xf>
    <xf numFmtId="0" fontId="17" fillId="14" borderId="0" xfId="0" applyFont="1" applyFill="1" applyBorder="1" applyAlignment="1">
      <alignment horizontal="center" vertical="center"/>
    </xf>
    <xf numFmtId="0" fontId="17" fillId="14" borderId="2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vertical="center"/>
    </xf>
    <xf numFmtId="0" fontId="1" fillId="5" borderId="7" xfId="0" applyFont="1" applyFill="1" applyBorder="1" applyAlignment="1">
      <alignment vertical="center"/>
    </xf>
    <xf numFmtId="0" fontId="1" fillId="5" borderId="6" xfId="0" applyFont="1" applyFill="1" applyBorder="1" applyAlignment="1">
      <alignment vertical="center"/>
    </xf>
    <xf numFmtId="0" fontId="1" fillId="5" borderId="8" xfId="0" applyFont="1" applyFill="1" applyBorder="1" applyAlignment="1">
      <alignment vertical="center"/>
    </xf>
    <xf numFmtId="0" fontId="18" fillId="5" borderId="6" xfId="0" applyFont="1" applyFill="1" applyBorder="1" applyAlignment="1">
      <alignment vertical="center"/>
    </xf>
    <xf numFmtId="2" fontId="0" fillId="0" borderId="2" xfId="0" applyNumberFormat="1" applyBorder="1" applyAlignment="1">
      <alignment horizontal="center" vertical="center"/>
    </xf>
    <xf numFmtId="0" fontId="0" fillId="0" borderId="2" xfId="0" applyBorder="1"/>
    <xf numFmtId="3" fontId="14" fillId="14" borderId="2" xfId="0" applyNumberFormat="1" applyFont="1" applyFill="1" applyBorder="1" applyAlignment="1">
      <alignment horizontal="center" vertical="center"/>
    </xf>
    <xf numFmtId="0" fontId="15" fillId="0" borderId="0" xfId="0" applyFont="1"/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" fillId="11" borderId="14" xfId="0" applyFont="1" applyFill="1" applyBorder="1" applyAlignment="1">
      <alignment horizontal="center"/>
    </xf>
    <xf numFmtId="0" fontId="1" fillId="11" borderId="15" xfId="0" applyFont="1" applyFill="1" applyBorder="1" applyAlignment="1">
      <alignment horizontal="center"/>
    </xf>
    <xf numFmtId="0" fontId="1" fillId="11" borderId="13" xfId="0" applyFont="1" applyFill="1" applyBorder="1" applyAlignment="1">
      <alignment horizontal="center"/>
    </xf>
    <xf numFmtId="3" fontId="15" fillId="13" borderId="0" xfId="0" applyNumberFormat="1" applyFont="1" applyFill="1"/>
  </cellXfs>
  <cellStyles count="3">
    <cellStyle name="Millares" xfId="1" builtinId="3"/>
    <cellStyle name="Normal" xfId="0" builtinId="0"/>
    <cellStyle name="Porcentaje" xfId="2" builtinId="5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702468</xdr:colOff>
      <xdr:row>40</xdr:row>
      <xdr:rowOff>0</xdr:rowOff>
    </xdr:from>
    <xdr:to>
      <xdr:col>16</xdr:col>
      <xdr:colOff>115673</xdr:colOff>
      <xdr:row>42</xdr:row>
      <xdr:rowOff>123768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D4C5DAC-D768-491A-A2AB-36840EDF5A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36968" y="6822281"/>
          <a:ext cx="8057143" cy="4571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>
    <tabColor rgb="FFFF0000"/>
  </sheetPr>
  <dimension ref="A2:T41"/>
  <sheetViews>
    <sheetView zoomScale="90" zoomScaleNormal="90" workbookViewId="0">
      <selection activeCell="M30" sqref="M30"/>
    </sheetView>
  </sheetViews>
  <sheetFormatPr baseColWidth="10" defaultRowHeight="13.5" x14ac:dyDescent="0.25"/>
  <cols>
    <col min="2" max="2" width="7.28515625" bestFit="1" customWidth="1"/>
    <col min="3" max="3" width="25.42578125" bestFit="1" customWidth="1"/>
    <col min="4" max="4" width="17.7109375" bestFit="1" customWidth="1"/>
    <col min="5" max="5" width="17.7109375" customWidth="1"/>
    <col min="6" max="6" width="16.42578125" bestFit="1" customWidth="1"/>
    <col min="7" max="7" width="26.28515625" bestFit="1" customWidth="1"/>
    <col min="8" max="8" width="10.42578125" customWidth="1"/>
    <col min="9" max="9" width="16.42578125" bestFit="1" customWidth="1"/>
    <col min="10" max="10" width="16.140625" customWidth="1"/>
    <col min="11" max="11" width="25.28515625" bestFit="1" customWidth="1"/>
    <col min="12" max="17" width="16.42578125" customWidth="1"/>
    <col min="19" max="19" width="29.5703125" customWidth="1"/>
    <col min="20" max="20" width="19.28515625" customWidth="1"/>
  </cols>
  <sheetData>
    <row r="2" spans="1:20" s="15" customFormat="1" x14ac:dyDescent="0.25">
      <c r="A2" s="56"/>
      <c r="B2" s="56"/>
      <c r="C2" s="69"/>
      <c r="D2" s="70"/>
      <c r="E2" s="122" t="s">
        <v>109</v>
      </c>
      <c r="F2" s="56"/>
      <c r="G2" s="122" t="s">
        <v>108</v>
      </c>
      <c r="H2" s="53"/>
      <c r="I2" s="53"/>
      <c r="J2" s="54"/>
      <c r="K2" s="122" t="s">
        <v>107</v>
      </c>
      <c r="L2" s="123" t="s">
        <v>17</v>
      </c>
      <c r="M2" s="126" t="s">
        <v>107</v>
      </c>
      <c r="N2" s="124"/>
      <c r="O2" s="124"/>
      <c r="P2" s="124"/>
      <c r="Q2" s="125"/>
    </row>
    <row r="3" spans="1:20" x14ac:dyDescent="0.25">
      <c r="A3" s="131" t="s">
        <v>15</v>
      </c>
      <c r="B3" s="134" t="s">
        <v>0</v>
      </c>
      <c r="C3" s="136" t="s">
        <v>1</v>
      </c>
      <c r="D3" s="60" t="s">
        <v>2</v>
      </c>
      <c r="E3" s="99"/>
      <c r="F3" s="58" t="s">
        <v>3</v>
      </c>
      <c r="G3" s="118" t="s">
        <v>106</v>
      </c>
      <c r="H3" s="32" t="s">
        <v>40</v>
      </c>
      <c r="I3" s="1" t="s">
        <v>4</v>
      </c>
      <c r="J3" s="2" t="s">
        <v>5</v>
      </c>
      <c r="K3" s="120" t="s">
        <v>5</v>
      </c>
      <c r="L3" s="52" t="s">
        <v>38</v>
      </c>
      <c r="M3" s="120" t="s">
        <v>38</v>
      </c>
      <c r="N3" s="51" t="s">
        <v>4</v>
      </c>
      <c r="O3" s="120" t="s">
        <v>4</v>
      </c>
      <c r="P3" s="51" t="s">
        <v>37</v>
      </c>
      <c r="Q3" s="40" t="s">
        <v>40</v>
      </c>
      <c r="S3" s="133" t="s">
        <v>52</v>
      </c>
      <c r="T3" s="133"/>
    </row>
    <row r="4" spans="1:20" ht="15" x14ac:dyDescent="0.25">
      <c r="A4" s="132"/>
      <c r="B4" s="135"/>
      <c r="C4" s="137"/>
      <c r="D4" s="61" t="s">
        <v>6</v>
      </c>
      <c r="E4" s="100"/>
      <c r="F4" s="59" t="s">
        <v>7</v>
      </c>
      <c r="G4" s="119" t="s">
        <v>7</v>
      </c>
      <c r="H4" s="33" t="s">
        <v>47</v>
      </c>
      <c r="I4" s="3" t="s">
        <v>51</v>
      </c>
      <c r="J4" s="4" t="s">
        <v>8</v>
      </c>
      <c r="K4" s="121" t="s">
        <v>8</v>
      </c>
      <c r="L4" s="64" t="s">
        <v>14</v>
      </c>
      <c r="M4" s="121" t="s">
        <v>14</v>
      </c>
      <c r="N4" s="62" t="s">
        <v>14</v>
      </c>
      <c r="O4" s="121" t="s">
        <v>14</v>
      </c>
      <c r="P4" s="62" t="s">
        <v>14</v>
      </c>
      <c r="Q4" s="63" t="s">
        <v>14</v>
      </c>
      <c r="S4" s="10" t="s">
        <v>60</v>
      </c>
      <c r="T4" s="10" t="s">
        <v>62</v>
      </c>
    </row>
    <row r="5" spans="1:20" x14ac:dyDescent="0.25">
      <c r="A5" t="s">
        <v>62</v>
      </c>
      <c r="B5" s="5" t="s">
        <v>9</v>
      </c>
      <c r="C5" s="6" t="s">
        <v>16</v>
      </c>
      <c r="D5" s="17">
        <f>VLOOKUP($C5,Px!$B$13:$K$19,9,0)</f>
        <v>5716.3777728803343</v>
      </c>
      <c r="E5" s="17">
        <f>+ROUND(VLOOKUP(C5,Px!$B$13:$M$19,12,0),4)</f>
        <v>5716.3778000000002</v>
      </c>
      <c r="F5" s="75">
        <f>VLOOKUP($C5,Px!$B$13:$K$19,10,0)</f>
        <v>49.222788579740943</v>
      </c>
      <c r="G5" s="75">
        <f>+ROUND(VLOOKUP(C5,Px!$B$13:$M$19,11,0),3)</f>
        <v>49.222999999999999</v>
      </c>
      <c r="H5" s="41"/>
      <c r="I5" s="7"/>
      <c r="J5" s="85">
        <v>724134.62797605561</v>
      </c>
      <c r="K5" s="84">
        <f>+ROUND(J5,0)</f>
        <v>724135</v>
      </c>
      <c r="L5" s="83">
        <f>J5*F5</f>
        <v>35643925.696134746</v>
      </c>
      <c r="M5" s="84">
        <f>+ROUND(G5*K5,0)</f>
        <v>35644097</v>
      </c>
      <c r="N5" s="84">
        <f>I5*D5</f>
        <v>0</v>
      </c>
      <c r="O5" s="87">
        <f>+ROUND(E5*I5,0)</f>
        <v>0</v>
      </c>
      <c r="P5" s="87"/>
      <c r="Q5" s="85"/>
      <c r="S5" s="11" t="s">
        <v>74</v>
      </c>
      <c r="T5" s="12">
        <f>L26</f>
        <v>576161473.77037823</v>
      </c>
    </row>
    <row r="6" spans="1:20" x14ac:dyDescent="0.25">
      <c r="A6" t="s">
        <v>62</v>
      </c>
      <c r="B6" t="s">
        <v>9</v>
      </c>
      <c r="C6" s="8" t="s">
        <v>63</v>
      </c>
      <c r="D6" s="16">
        <f>VLOOKUP($C6,Px!$B$13:$K$19,9,0)</f>
        <v>5770.020531256172</v>
      </c>
      <c r="E6" s="16">
        <f>+ROUND(VLOOKUP(C6,Px!$B$13:$M$19,12,0),4)</f>
        <v>5770.0204999999996</v>
      </c>
      <c r="F6" s="76">
        <f>VLOOKUP($C6,Px!$B$13:$K$19,10,0)</f>
        <v>50.344789662661675</v>
      </c>
      <c r="G6" s="76">
        <f>+ROUND(VLOOKUP(C6,Px!$B$13:$M$19,11,0),3)</f>
        <v>50.344000000000001</v>
      </c>
      <c r="H6" s="42"/>
      <c r="I6" s="9"/>
      <c r="J6" s="88">
        <v>684417.9732828734</v>
      </c>
      <c r="K6" s="87">
        <f t="shared" ref="K6:K25" si="0">+ROUND(J6,0)</f>
        <v>684418</v>
      </c>
      <c r="L6" s="86">
        <f t="shared" ref="L6:L25" si="1">J6*F6</f>
        <v>34456878.906271458</v>
      </c>
      <c r="M6" s="87">
        <f t="shared" ref="M6:M25" si="2">+ROUND(G6*K6,0)</f>
        <v>34456340</v>
      </c>
      <c r="N6" s="87">
        <f t="shared" ref="N6:N25" si="3">I6*D6</f>
        <v>0</v>
      </c>
      <c r="O6" s="87">
        <f t="shared" ref="O6:O25" si="4">+ROUND(E6*I6,0)</f>
        <v>0</v>
      </c>
      <c r="P6" s="87"/>
      <c r="Q6" s="88"/>
      <c r="S6" s="11" t="s">
        <v>75</v>
      </c>
      <c r="T6" s="12">
        <f>N26</f>
        <v>39753078.325648263</v>
      </c>
    </row>
    <row r="7" spans="1:20" x14ac:dyDescent="0.25">
      <c r="A7" t="s">
        <v>62</v>
      </c>
      <c r="B7" t="s">
        <v>9</v>
      </c>
      <c r="C7" s="8" t="s">
        <v>64</v>
      </c>
      <c r="D7" s="16">
        <f>VLOOKUP($C7,Px!$B$13:$K$19,9,0)</f>
        <v>5776.2978753214284</v>
      </c>
      <c r="E7" s="16">
        <f>+ROUND(VLOOKUP(C7,Px!$B$13:$M$19,12,0),4)</f>
        <v>5776.2978000000003</v>
      </c>
      <c r="F7" s="76">
        <f>VLOOKUP($C7,Px!$B$13:$K$19,10,0)</f>
        <v>50.034235791496116</v>
      </c>
      <c r="G7" s="76">
        <f>+ROUND(VLOOKUP(C7,Px!$B$13:$M$19,11,0),3)</f>
        <v>50.034999999999997</v>
      </c>
      <c r="H7" s="42"/>
      <c r="I7" s="9"/>
      <c r="J7" s="88">
        <v>1456444.3904670535</v>
      </c>
      <c r="K7" s="87">
        <f t="shared" si="0"/>
        <v>1456444</v>
      </c>
      <c r="L7" s="86">
        <f t="shared" si="1"/>
        <v>72872082.049830392</v>
      </c>
      <c r="M7" s="87">
        <f t="shared" si="2"/>
        <v>72873176</v>
      </c>
      <c r="N7" s="87">
        <f t="shared" si="3"/>
        <v>0</v>
      </c>
      <c r="O7" s="87">
        <f t="shared" si="4"/>
        <v>0</v>
      </c>
      <c r="P7" s="87"/>
      <c r="Q7" s="88"/>
      <c r="S7" s="11" t="s">
        <v>13</v>
      </c>
      <c r="T7" s="12">
        <f>P26</f>
        <v>0</v>
      </c>
    </row>
    <row r="8" spans="1:20" x14ac:dyDescent="0.25">
      <c r="A8" t="s">
        <v>62</v>
      </c>
      <c r="B8" t="s">
        <v>9</v>
      </c>
      <c r="C8" s="8" t="s">
        <v>65</v>
      </c>
      <c r="D8" s="16">
        <f>VLOOKUP($C8,Px!$B$13:$K$19,9,0)</f>
        <v>5792.8472369480151</v>
      </c>
      <c r="E8" s="16">
        <f>+ROUND(VLOOKUP(C8,Px!$B$13:$M$19,12,0),4)</f>
        <v>5792.8472000000002</v>
      </c>
      <c r="F8" s="76">
        <f>VLOOKUP($C8,Px!$B$13:$K$19,10,0)</f>
        <v>50.259637794761446</v>
      </c>
      <c r="G8" s="76">
        <f>+ROUND(VLOOKUP(C8,Px!$B$13:$M$19,11,0),3)</f>
        <v>50.26</v>
      </c>
      <c r="H8" s="42"/>
      <c r="I8" s="9"/>
      <c r="J8" s="88">
        <v>1669.009679847404</v>
      </c>
      <c r="K8" s="87">
        <f t="shared" si="0"/>
        <v>1669</v>
      </c>
      <c r="L8" s="86">
        <f t="shared" si="1"/>
        <v>83883.821985081289</v>
      </c>
      <c r="M8" s="87">
        <f t="shared" si="2"/>
        <v>83884</v>
      </c>
      <c r="N8" s="87">
        <f t="shared" si="3"/>
        <v>0</v>
      </c>
      <c r="O8" s="87">
        <f t="shared" si="4"/>
        <v>0</v>
      </c>
      <c r="P8" s="87"/>
      <c r="Q8" s="88"/>
      <c r="S8" s="11" t="s">
        <v>40</v>
      </c>
      <c r="T8" s="12">
        <f>Q26</f>
        <v>0</v>
      </c>
    </row>
    <row r="9" spans="1:20" x14ac:dyDescent="0.25">
      <c r="A9" t="s">
        <v>62</v>
      </c>
      <c r="B9" t="s">
        <v>9</v>
      </c>
      <c r="C9" s="8" t="s">
        <v>66</v>
      </c>
      <c r="D9" s="16">
        <f>VLOOKUP($C9,Px!$B$13:$K$19,9,0)</f>
        <v>5532.0521244186848</v>
      </c>
      <c r="E9" s="16">
        <f>+ROUND(VLOOKUP(C9,Px!$B$13:$M$19,12,0),4)</f>
        <v>5532.0522000000001</v>
      </c>
      <c r="F9" s="76">
        <f>VLOOKUP($C9,Px!$B$13:$K$19,10,0)</f>
        <v>48.416350301391681</v>
      </c>
      <c r="G9" s="76">
        <f>+ROUND(VLOOKUP(C9,Px!$B$13:$M$19,11,0),3)</f>
        <v>48.415999999999997</v>
      </c>
      <c r="H9" s="42"/>
      <c r="I9" s="9"/>
      <c r="J9" s="88">
        <v>712.30542618569768</v>
      </c>
      <c r="K9" s="87">
        <f t="shared" si="0"/>
        <v>712</v>
      </c>
      <c r="L9" s="86">
        <f t="shared" si="1"/>
        <v>34487.229035788834</v>
      </c>
      <c r="M9" s="87">
        <f t="shared" si="2"/>
        <v>34472</v>
      </c>
      <c r="N9" s="87">
        <f t="shared" si="3"/>
        <v>0</v>
      </c>
      <c r="O9" s="87">
        <f t="shared" si="4"/>
        <v>0</v>
      </c>
      <c r="P9" s="87"/>
      <c r="Q9" s="88"/>
      <c r="S9" s="13" t="s">
        <v>12</v>
      </c>
      <c r="T9" s="14">
        <f>SUM(T5:T8)</f>
        <v>615914552.09602654</v>
      </c>
    </row>
    <row r="10" spans="1:20" x14ac:dyDescent="0.25">
      <c r="A10" t="s">
        <v>62</v>
      </c>
      <c r="B10" t="s">
        <v>9</v>
      </c>
      <c r="C10" s="8" t="s">
        <v>67</v>
      </c>
      <c r="D10" s="16">
        <f>VLOOKUP($C10,Px!$B$13:$K$19,9,0)</f>
        <v>5706.6764229613009</v>
      </c>
      <c r="E10" s="16">
        <f>+ROUND(VLOOKUP(C10,Px!$B$13:$M$19,12,0),4)</f>
        <v>5706.6764000000003</v>
      </c>
      <c r="F10" s="76">
        <f>VLOOKUP($C10,Px!$B$13:$K$19,10,0)</f>
        <v>50.089334058960972</v>
      </c>
      <c r="G10" s="76">
        <f>+ROUND(VLOOKUP(C10,Px!$B$13:$M$19,11,0),3)</f>
        <v>50.09</v>
      </c>
      <c r="H10" s="42"/>
      <c r="I10" s="9"/>
      <c r="J10" s="88">
        <v>547707.31558634131</v>
      </c>
      <c r="K10" s="87">
        <f t="shared" si="0"/>
        <v>547707</v>
      </c>
      <c r="L10" s="86">
        <f t="shared" si="1"/>
        <v>27434294.696941011</v>
      </c>
      <c r="M10" s="87">
        <f t="shared" si="2"/>
        <v>27434644</v>
      </c>
      <c r="N10" s="87">
        <f t="shared" si="3"/>
        <v>0</v>
      </c>
      <c r="O10" s="87">
        <f t="shared" si="4"/>
        <v>0</v>
      </c>
      <c r="P10" s="87"/>
      <c r="Q10" s="88"/>
    </row>
    <row r="11" spans="1:20" x14ac:dyDescent="0.25">
      <c r="A11" t="s">
        <v>62</v>
      </c>
      <c r="B11" t="s">
        <v>9</v>
      </c>
      <c r="C11" s="8" t="s">
        <v>68</v>
      </c>
      <c r="D11" s="16">
        <f>VLOOKUP($C11,Px!$B$13:$K$19,9,0)</f>
        <v>5777.4392106060195</v>
      </c>
      <c r="E11" s="16">
        <f>+ROUND(VLOOKUP(C11,Px!$B$13:$M$19,12,0),4)</f>
        <v>5777.4391999999998</v>
      </c>
      <c r="F11" s="76">
        <f>VLOOKUP($C11,Px!$B$13:$K$19,10,0)</f>
        <v>50.475021931214975</v>
      </c>
      <c r="G11" s="76">
        <f>+ROUND(VLOOKUP(C11,Px!$B$13:$M$19,11,0),3)</f>
        <v>50.475000000000001</v>
      </c>
      <c r="H11" s="42"/>
      <c r="I11" s="9"/>
      <c r="J11" s="88">
        <v>8126.3212956510142</v>
      </c>
      <c r="K11" s="87">
        <f t="shared" si="0"/>
        <v>8126</v>
      </c>
      <c r="L11" s="86">
        <f t="shared" si="1"/>
        <v>410176.24561808421</v>
      </c>
      <c r="M11" s="87">
        <f t="shared" si="2"/>
        <v>410160</v>
      </c>
      <c r="N11" s="87">
        <f t="shared" si="3"/>
        <v>0</v>
      </c>
      <c r="O11" s="87">
        <f t="shared" si="4"/>
        <v>0</v>
      </c>
      <c r="P11" s="87"/>
      <c r="Q11" s="88"/>
    </row>
    <row r="12" spans="1:20" x14ac:dyDescent="0.25">
      <c r="A12" t="s">
        <v>62</v>
      </c>
      <c r="B12" t="s">
        <v>10</v>
      </c>
      <c r="C12" s="8" t="s">
        <v>16</v>
      </c>
      <c r="D12" s="16">
        <f>VLOOKUP($C12,Px!$B$13:$K$19,9,0)</f>
        <v>5716.3777728803343</v>
      </c>
      <c r="E12" s="16">
        <f>+ROUND(VLOOKUP(C12,Px!$B$13:$M$19,12,0),4)</f>
        <v>5716.3778000000002</v>
      </c>
      <c r="F12" s="76">
        <f>VLOOKUP($C12,Px!$B$13:$K$19,10,0)</f>
        <v>49.222788579740943</v>
      </c>
      <c r="G12" s="76">
        <f>+ROUND(VLOOKUP(C12,Px!$B$13:$M$19,11,0),3)</f>
        <v>49.222999999999999</v>
      </c>
      <c r="H12" s="42"/>
      <c r="I12" s="9"/>
      <c r="J12" s="88">
        <v>1149535.7369188389</v>
      </c>
      <c r="K12" s="87">
        <f t="shared" si="0"/>
        <v>1149536</v>
      </c>
      <c r="L12" s="86">
        <f t="shared" si="1"/>
        <v>56583354.543212712</v>
      </c>
      <c r="M12" s="87">
        <f t="shared" si="2"/>
        <v>56583611</v>
      </c>
      <c r="N12" s="87">
        <f t="shared" si="3"/>
        <v>0</v>
      </c>
      <c r="O12" s="87">
        <f t="shared" si="4"/>
        <v>0</v>
      </c>
      <c r="P12" s="87"/>
      <c r="Q12" s="88"/>
    </row>
    <row r="13" spans="1:20" x14ac:dyDescent="0.25">
      <c r="A13" t="s">
        <v>62</v>
      </c>
      <c r="B13" t="s">
        <v>10</v>
      </c>
      <c r="C13" s="8" t="s">
        <v>63</v>
      </c>
      <c r="D13" s="16">
        <f>VLOOKUP($C13,Px!$B$13:$K$19,9,0)</f>
        <v>5770.020531256172</v>
      </c>
      <c r="E13" s="16">
        <f>+ROUND(VLOOKUP(C13,Px!$B$13:$M$19,12,0),4)</f>
        <v>5770.0204999999996</v>
      </c>
      <c r="F13" s="76">
        <f>VLOOKUP($C13,Px!$B$13:$K$19,10,0)</f>
        <v>50.344789662661675</v>
      </c>
      <c r="G13" s="76">
        <f>+ROUND(VLOOKUP(C13,Px!$B$13:$M$19,11,0),3)</f>
        <v>50.344000000000001</v>
      </c>
      <c r="H13" s="42"/>
      <c r="I13" s="9"/>
      <c r="J13" s="88">
        <v>1077696.5572413879</v>
      </c>
      <c r="K13" s="87">
        <f t="shared" si="0"/>
        <v>1077697</v>
      </c>
      <c r="L13" s="86">
        <f t="shared" si="1"/>
        <v>54256406.4944923</v>
      </c>
      <c r="M13" s="87">
        <f t="shared" si="2"/>
        <v>54255578</v>
      </c>
      <c r="N13" s="87">
        <f t="shared" si="3"/>
        <v>0</v>
      </c>
      <c r="O13" s="87">
        <f t="shared" si="4"/>
        <v>0</v>
      </c>
      <c r="P13" s="87"/>
      <c r="Q13" s="88"/>
    </row>
    <row r="14" spans="1:20" x14ac:dyDescent="0.25">
      <c r="A14" t="s">
        <v>62</v>
      </c>
      <c r="B14" t="s">
        <v>10</v>
      </c>
      <c r="C14" s="8" t="s">
        <v>64</v>
      </c>
      <c r="D14" s="16">
        <f>VLOOKUP($C14,Px!$B$13:$K$19,9,0)</f>
        <v>5776.2978753214284</v>
      </c>
      <c r="E14" s="16">
        <f>+ROUND(VLOOKUP(C14,Px!$B$13:$M$19,12,0),4)</f>
        <v>5776.2978000000003</v>
      </c>
      <c r="F14" s="76">
        <f>VLOOKUP($C14,Px!$B$13:$K$19,10,0)</f>
        <v>50.034235791496116</v>
      </c>
      <c r="G14" s="76">
        <f>+ROUND(VLOOKUP(C14,Px!$B$13:$M$19,11,0),3)</f>
        <v>50.034999999999997</v>
      </c>
      <c r="H14" s="42"/>
      <c r="I14" s="9"/>
      <c r="J14" s="88">
        <v>2263746.4148633531</v>
      </c>
      <c r="K14" s="87">
        <f t="shared" si="0"/>
        <v>2263746</v>
      </c>
      <c r="L14" s="86">
        <f t="shared" si="1"/>
        <v>113264821.893427</v>
      </c>
      <c r="M14" s="87">
        <f t="shared" si="2"/>
        <v>113266531</v>
      </c>
      <c r="N14" s="87">
        <f t="shared" si="3"/>
        <v>0</v>
      </c>
      <c r="O14" s="87">
        <f t="shared" si="4"/>
        <v>0</v>
      </c>
      <c r="P14" s="87"/>
      <c r="Q14" s="88"/>
    </row>
    <row r="15" spans="1:20" x14ac:dyDescent="0.25">
      <c r="A15" t="s">
        <v>62</v>
      </c>
      <c r="B15" t="s">
        <v>10</v>
      </c>
      <c r="C15" s="8" t="s">
        <v>65</v>
      </c>
      <c r="D15" s="16">
        <f>VLOOKUP($C15,Px!$B$13:$K$19,9,0)</f>
        <v>5792.8472369480151</v>
      </c>
      <c r="E15" s="16">
        <f>+ROUND(VLOOKUP(C15,Px!$B$13:$M$19,12,0),4)</f>
        <v>5792.8472000000002</v>
      </c>
      <c r="F15" s="76">
        <f>VLOOKUP($C15,Px!$B$13:$K$19,10,0)</f>
        <v>50.259637794761446</v>
      </c>
      <c r="G15" s="76">
        <f>+ROUND(VLOOKUP(C15,Px!$B$13:$M$19,11,0),3)</f>
        <v>50.26</v>
      </c>
      <c r="H15" s="42"/>
      <c r="I15" s="9"/>
      <c r="J15" s="88">
        <v>2447.759414204635</v>
      </c>
      <c r="K15" s="87">
        <f t="shared" si="0"/>
        <v>2448</v>
      </c>
      <c r="L15" s="86">
        <f t="shared" si="1"/>
        <v>123023.50156664242</v>
      </c>
      <c r="M15" s="87">
        <f t="shared" si="2"/>
        <v>123036</v>
      </c>
      <c r="N15" s="87">
        <f t="shared" si="3"/>
        <v>0</v>
      </c>
      <c r="O15" s="87">
        <f t="shared" si="4"/>
        <v>0</v>
      </c>
      <c r="P15" s="87"/>
      <c r="Q15" s="88"/>
    </row>
    <row r="16" spans="1:20" x14ac:dyDescent="0.25">
      <c r="A16" t="s">
        <v>62</v>
      </c>
      <c r="B16" t="s">
        <v>10</v>
      </c>
      <c r="C16" s="8" t="s">
        <v>66</v>
      </c>
      <c r="D16" s="16">
        <f>VLOOKUP($C16,Px!$B$13:$K$19,9,0)</f>
        <v>5532.0521244186848</v>
      </c>
      <c r="E16" s="16">
        <f>+ROUND(VLOOKUP(C16,Px!$B$13:$M$19,12,0),4)</f>
        <v>5532.0522000000001</v>
      </c>
      <c r="F16" s="76">
        <f>VLOOKUP($C16,Px!$B$13:$K$19,10,0)</f>
        <v>48.416350301391681</v>
      </c>
      <c r="G16" s="76">
        <f>+ROUND(VLOOKUP(C16,Px!$B$13:$M$19,11,0),3)</f>
        <v>48.415999999999997</v>
      </c>
      <c r="H16" s="42"/>
      <c r="I16" s="9"/>
      <c r="J16" s="88">
        <v>1063.7030195165737</v>
      </c>
      <c r="K16" s="87">
        <f t="shared" si="0"/>
        <v>1064</v>
      </c>
      <c r="L16" s="86">
        <f t="shared" si="1"/>
        <v>51500.618009562502</v>
      </c>
      <c r="M16" s="87">
        <f t="shared" si="2"/>
        <v>51515</v>
      </c>
      <c r="N16" s="87">
        <f t="shared" si="3"/>
        <v>0</v>
      </c>
      <c r="O16" s="87">
        <f t="shared" si="4"/>
        <v>0</v>
      </c>
      <c r="P16" s="87"/>
      <c r="Q16" s="88"/>
    </row>
    <row r="17" spans="1:18" x14ac:dyDescent="0.25">
      <c r="A17" t="s">
        <v>62</v>
      </c>
      <c r="B17" t="s">
        <v>10</v>
      </c>
      <c r="C17" s="8" t="s">
        <v>67</v>
      </c>
      <c r="D17" s="16">
        <f>VLOOKUP($C17,Px!$B$13:$K$19,9,0)</f>
        <v>5706.6764229613009</v>
      </c>
      <c r="E17" s="16">
        <f>+ROUND(VLOOKUP(C17,Px!$B$13:$M$19,12,0),4)</f>
        <v>5706.6764000000003</v>
      </c>
      <c r="F17" s="76">
        <f>VLOOKUP($C17,Px!$B$13:$K$19,10,0)</f>
        <v>50.089334058960972</v>
      </c>
      <c r="G17" s="76">
        <f>+ROUND(VLOOKUP(C17,Px!$B$13:$M$19,11,0),3)</f>
        <v>50.09</v>
      </c>
      <c r="H17" s="42"/>
      <c r="I17" s="9"/>
      <c r="J17" s="88">
        <v>883127.27009275474</v>
      </c>
      <c r="K17" s="87">
        <f t="shared" si="0"/>
        <v>883127</v>
      </c>
      <c r="L17" s="86">
        <f t="shared" si="1"/>
        <v>44235256.848254248</v>
      </c>
      <c r="M17" s="87">
        <f t="shared" si="2"/>
        <v>44235831</v>
      </c>
      <c r="N17" s="87">
        <f t="shared" si="3"/>
        <v>0</v>
      </c>
      <c r="O17" s="87">
        <f t="shared" si="4"/>
        <v>0</v>
      </c>
      <c r="P17" s="87"/>
      <c r="Q17" s="88"/>
    </row>
    <row r="18" spans="1:18" x14ac:dyDescent="0.25">
      <c r="A18" t="s">
        <v>62</v>
      </c>
      <c r="B18" t="s">
        <v>10</v>
      </c>
      <c r="C18" s="8" t="s">
        <v>68</v>
      </c>
      <c r="D18" s="16">
        <f>VLOOKUP($C18,Px!$B$13:$K$19,9,0)</f>
        <v>5777.4392106060195</v>
      </c>
      <c r="E18" s="16">
        <f>+ROUND(VLOOKUP(C18,Px!$B$13:$M$19,12,0),4)</f>
        <v>5777.4391999999998</v>
      </c>
      <c r="F18" s="76">
        <f>VLOOKUP($C18,Px!$B$13:$K$19,10,0)</f>
        <v>50.475021931214975</v>
      </c>
      <c r="G18" s="76">
        <f>+ROUND(VLOOKUP(C18,Px!$B$13:$M$19,11,0),3)</f>
        <v>50.475000000000001</v>
      </c>
      <c r="H18" s="42"/>
      <c r="I18" s="9"/>
      <c r="J18" s="88">
        <v>12731.83387394579</v>
      </c>
      <c r="K18" s="87">
        <f t="shared" si="0"/>
        <v>12732</v>
      </c>
      <c r="L18" s="86">
        <f t="shared" si="1"/>
        <v>642639.59401199943</v>
      </c>
      <c r="M18" s="87">
        <f t="shared" si="2"/>
        <v>642648</v>
      </c>
      <c r="N18" s="87">
        <f t="shared" si="3"/>
        <v>0</v>
      </c>
      <c r="O18" s="87">
        <f t="shared" si="4"/>
        <v>0</v>
      </c>
      <c r="P18" s="87"/>
      <c r="Q18" s="88"/>
    </row>
    <row r="19" spans="1:18" x14ac:dyDescent="0.25">
      <c r="A19" t="s">
        <v>62</v>
      </c>
      <c r="B19" t="s">
        <v>11</v>
      </c>
      <c r="C19" s="8" t="s">
        <v>16</v>
      </c>
      <c r="D19" s="16">
        <f>VLOOKUP($C19,Px!$B$13:$K$19,9,0)</f>
        <v>5716.3777728803343</v>
      </c>
      <c r="E19" s="16">
        <f>+ROUND(VLOOKUP(C19,Px!$B$13:$M$19,12,0),4)</f>
        <v>5716.3778000000002</v>
      </c>
      <c r="F19" s="76">
        <f>VLOOKUP($C19,Px!$B$13:$K$19,10,0)</f>
        <v>49.222788579740943</v>
      </c>
      <c r="G19" s="76">
        <f>+ROUND(VLOOKUP(C19,Px!$B$13:$M$19,11,0),3)</f>
        <v>49.222999999999999</v>
      </c>
      <c r="H19" s="42"/>
      <c r="I19" s="107">
        <f>'ENEL DX'!K8</f>
        <v>1467</v>
      </c>
      <c r="J19" s="88">
        <v>578308.19154854107</v>
      </c>
      <c r="K19" s="87">
        <f t="shared" si="0"/>
        <v>578308</v>
      </c>
      <c r="L19" s="86">
        <f t="shared" si="1"/>
        <v>28465941.846526165</v>
      </c>
      <c r="M19" s="87">
        <f t="shared" si="2"/>
        <v>28466055</v>
      </c>
      <c r="N19" s="87">
        <f t="shared" si="3"/>
        <v>8385926.19281545</v>
      </c>
      <c r="O19" s="87">
        <f t="shared" si="4"/>
        <v>8385926</v>
      </c>
      <c r="P19" s="87"/>
      <c r="Q19" s="88"/>
    </row>
    <row r="20" spans="1:18" x14ac:dyDescent="0.25">
      <c r="A20" t="s">
        <v>62</v>
      </c>
      <c r="B20" t="s">
        <v>11</v>
      </c>
      <c r="C20" s="8" t="s">
        <v>63</v>
      </c>
      <c r="D20" s="16">
        <f>VLOOKUP($C20,Px!$B$13:$K$19,9,0)</f>
        <v>5770.020531256172</v>
      </c>
      <c r="E20" s="16">
        <f>+ROUND(VLOOKUP(C20,Px!$B$13:$M$19,12,0),4)</f>
        <v>5770.0204999999996</v>
      </c>
      <c r="F20" s="76">
        <f>VLOOKUP($C20,Px!$B$13:$K$19,10,0)</f>
        <v>50.344789662661675</v>
      </c>
      <c r="G20" s="76">
        <f>+ROUND(VLOOKUP(C20,Px!$B$13:$M$19,11,0),3)</f>
        <v>50.344000000000001</v>
      </c>
      <c r="H20" s="42"/>
      <c r="I20" s="107">
        <f>'ENEL DX'!L8</f>
        <v>1379</v>
      </c>
      <c r="J20" s="88">
        <v>543735.67129468627</v>
      </c>
      <c r="K20" s="87">
        <f t="shared" si="0"/>
        <v>543736</v>
      </c>
      <c r="L20" s="86">
        <f t="shared" si="1"/>
        <v>27374258.003417127</v>
      </c>
      <c r="M20" s="87">
        <f t="shared" si="2"/>
        <v>27373845</v>
      </c>
      <c r="N20" s="87">
        <f t="shared" si="3"/>
        <v>7956858.3126022611</v>
      </c>
      <c r="O20" s="87">
        <f t="shared" si="4"/>
        <v>7956858</v>
      </c>
      <c r="P20" s="87"/>
      <c r="Q20" s="88"/>
    </row>
    <row r="21" spans="1:18" x14ac:dyDescent="0.25">
      <c r="A21" t="s">
        <v>62</v>
      </c>
      <c r="B21" t="s">
        <v>11</v>
      </c>
      <c r="C21" s="8" t="s">
        <v>64</v>
      </c>
      <c r="D21" s="16">
        <f>VLOOKUP($C21,Px!$B$13:$K$19,9,0)</f>
        <v>5776.2978753214284</v>
      </c>
      <c r="E21" s="16">
        <f>+ROUND(VLOOKUP(C21,Px!$B$13:$M$19,12,0),4)</f>
        <v>5776.2978000000003</v>
      </c>
      <c r="F21" s="76">
        <f>VLOOKUP($C21,Px!$B$13:$K$19,10,0)</f>
        <v>50.034235791496116</v>
      </c>
      <c r="G21" s="76">
        <f>+ROUND(VLOOKUP(C21,Px!$B$13:$M$19,11,0),3)</f>
        <v>50.034999999999997</v>
      </c>
      <c r="H21" s="42"/>
      <c r="I21" s="107">
        <f>'ENEL DX'!M8</f>
        <v>2955</v>
      </c>
      <c r="J21" s="88">
        <v>1164952.478361421</v>
      </c>
      <c r="K21" s="87">
        <f t="shared" si="0"/>
        <v>1164952</v>
      </c>
      <c r="L21" s="86">
        <f t="shared" si="1"/>
        <v>58287506.988223113</v>
      </c>
      <c r="M21" s="87">
        <f t="shared" si="2"/>
        <v>58288373</v>
      </c>
      <c r="N21" s="87">
        <f t="shared" si="3"/>
        <v>17068960.221574821</v>
      </c>
      <c r="O21" s="87">
        <f t="shared" si="4"/>
        <v>17068960</v>
      </c>
      <c r="P21" s="87"/>
      <c r="Q21" s="88"/>
    </row>
    <row r="22" spans="1:18" x14ac:dyDescent="0.25">
      <c r="A22" t="s">
        <v>62</v>
      </c>
      <c r="B22" t="s">
        <v>11</v>
      </c>
      <c r="C22" s="8" t="s">
        <v>65</v>
      </c>
      <c r="D22" s="16">
        <f>VLOOKUP($C22,Px!$B$13:$K$19,9,0)</f>
        <v>5792.8472369480151</v>
      </c>
      <c r="E22" s="16">
        <f>+ROUND(VLOOKUP(C22,Px!$B$13:$M$19,12,0),4)</f>
        <v>5792.8472000000002</v>
      </c>
      <c r="F22" s="76">
        <f>VLOOKUP($C22,Px!$B$13:$K$19,10,0)</f>
        <v>50.259637794761446</v>
      </c>
      <c r="G22" s="76">
        <f>+ROUND(VLOOKUP(C22,Px!$B$13:$M$19,11,0),3)</f>
        <v>50.26</v>
      </c>
      <c r="H22" s="42"/>
      <c r="I22" s="107">
        <f>'ENEL DX'!N8</f>
        <v>3</v>
      </c>
      <c r="J22" s="88">
        <v>1106.610314569192</v>
      </c>
      <c r="K22" s="87">
        <f t="shared" si="0"/>
        <v>1107</v>
      </c>
      <c r="L22" s="86">
        <f t="shared" si="1"/>
        <v>55617.833590194619</v>
      </c>
      <c r="M22" s="87">
        <f t="shared" si="2"/>
        <v>55638</v>
      </c>
      <c r="N22" s="87">
        <f t="shared" si="3"/>
        <v>17378.541710844045</v>
      </c>
      <c r="O22" s="87">
        <f t="shared" si="4"/>
        <v>17379</v>
      </c>
      <c r="P22" s="98"/>
      <c r="Q22" s="88"/>
    </row>
    <row r="23" spans="1:18" x14ac:dyDescent="0.25">
      <c r="A23" t="s">
        <v>62</v>
      </c>
      <c r="B23" t="s">
        <v>11</v>
      </c>
      <c r="C23" s="8" t="s">
        <v>66</v>
      </c>
      <c r="D23" s="16">
        <f>VLOOKUP($C23,Px!$B$13:$K$19,9,0)</f>
        <v>5532.0521244186848</v>
      </c>
      <c r="E23" s="16">
        <f>+ROUND(VLOOKUP(C23,Px!$B$13:$M$19,12,0),4)</f>
        <v>5532.0522000000001</v>
      </c>
      <c r="F23" s="76">
        <f>VLOOKUP($C23,Px!$B$13:$K$19,10,0)</f>
        <v>48.416350301391681</v>
      </c>
      <c r="G23" s="76">
        <f>+ROUND(VLOOKUP(C23,Px!$B$13:$M$19,11,0),3)</f>
        <v>48.415999999999997</v>
      </c>
      <c r="H23" s="42"/>
      <c r="I23" s="107">
        <f>'ENEL DX'!O8</f>
        <v>1</v>
      </c>
      <c r="J23" s="88">
        <v>482.82331040234362</v>
      </c>
      <c r="K23" s="87">
        <f t="shared" si="0"/>
        <v>483</v>
      </c>
      <c r="L23" s="86">
        <f t="shared" si="1"/>
        <v>23376.54253011744</v>
      </c>
      <c r="M23" s="87">
        <f t="shared" si="2"/>
        <v>23385</v>
      </c>
      <c r="N23" s="87">
        <f t="shared" si="3"/>
        <v>5532.0521244186848</v>
      </c>
      <c r="O23" s="87">
        <f t="shared" si="4"/>
        <v>5532</v>
      </c>
      <c r="P23" s="87"/>
      <c r="Q23" s="88"/>
    </row>
    <row r="24" spans="1:18" x14ac:dyDescent="0.25">
      <c r="A24" t="s">
        <v>62</v>
      </c>
      <c r="B24" t="s">
        <v>11</v>
      </c>
      <c r="C24" s="8" t="s">
        <v>67</v>
      </c>
      <c r="D24" s="16">
        <f>VLOOKUP($C24,Px!$B$13:$K$19,9,0)</f>
        <v>5706.6764229613009</v>
      </c>
      <c r="E24" s="16">
        <f>+ROUND(VLOOKUP(C24,Px!$B$13:$M$19,12,0),4)</f>
        <v>5706.6764000000003</v>
      </c>
      <c r="F24" s="76">
        <f>VLOOKUP($C24,Px!$B$13:$K$19,10,0)</f>
        <v>50.089334058960972</v>
      </c>
      <c r="G24" s="76">
        <f>+ROUND(VLOOKUP(C24,Px!$B$13:$M$19,11,0),3)</f>
        <v>50.09</v>
      </c>
      <c r="H24" s="42"/>
      <c r="I24" s="107">
        <f>'ENEL DX'!P8</f>
        <v>1091</v>
      </c>
      <c r="J24" s="88">
        <v>430020.0342473046</v>
      </c>
      <c r="K24" s="87">
        <f t="shared" si="0"/>
        <v>430020</v>
      </c>
      <c r="L24" s="86">
        <f t="shared" si="1"/>
        <v>21539417.147459079</v>
      </c>
      <c r="M24" s="87">
        <f t="shared" si="2"/>
        <v>21539702</v>
      </c>
      <c r="N24" s="87">
        <f t="shared" si="3"/>
        <v>6225983.9774507796</v>
      </c>
      <c r="O24" s="87">
        <f t="shared" si="4"/>
        <v>6225984</v>
      </c>
      <c r="P24" s="87"/>
      <c r="Q24" s="88"/>
    </row>
    <row r="25" spans="1:18" x14ac:dyDescent="0.25">
      <c r="A25" t="s">
        <v>62</v>
      </c>
      <c r="B25" t="s">
        <v>11</v>
      </c>
      <c r="C25" t="s">
        <v>68</v>
      </c>
      <c r="D25" s="78">
        <f>VLOOKUP($C25,Px!$B$13:$K$19,9,0)</f>
        <v>5777.4392106060195</v>
      </c>
      <c r="E25" s="127">
        <f>+ROUND(VLOOKUP(C25,Px!$B$13:$M$19,12,0),4)</f>
        <v>5777.4391999999998</v>
      </c>
      <c r="F25" s="79">
        <f>VLOOKUP($C25,Px!$B$13:$K$19,10,0)</f>
        <v>50.475021931214975</v>
      </c>
      <c r="G25" s="79">
        <f>+ROUND(VLOOKUP(C25,Px!$B$13:$M$19,11,0),3)</f>
        <v>50.475000000000001</v>
      </c>
      <c r="H25" s="80"/>
      <c r="I25" s="108">
        <f>'ENEL DX'!Q8</f>
        <v>16</v>
      </c>
      <c r="J25" s="88">
        <v>6391.7410532516842</v>
      </c>
      <c r="K25" s="87">
        <f t="shared" si="0"/>
        <v>6392</v>
      </c>
      <c r="L25" s="81">
        <f t="shared" si="1"/>
        <v>322623.26984152588</v>
      </c>
      <c r="M25" s="82">
        <f t="shared" si="2"/>
        <v>322636</v>
      </c>
      <c r="N25" s="82">
        <f t="shared" si="3"/>
        <v>92439.027369696312</v>
      </c>
      <c r="O25" s="87">
        <f t="shared" si="4"/>
        <v>92439</v>
      </c>
      <c r="P25" s="82"/>
      <c r="Q25" s="82"/>
      <c r="R25" s="89"/>
    </row>
    <row r="26" spans="1:18" ht="15" x14ac:dyDescent="0.25">
      <c r="A26" s="18"/>
      <c r="B26" s="18"/>
      <c r="C26" s="18"/>
      <c r="D26" s="18"/>
      <c r="E26" s="128"/>
      <c r="F26" s="39"/>
      <c r="G26" s="39"/>
      <c r="H26" s="77" t="s">
        <v>12</v>
      </c>
      <c r="I26" s="95">
        <f>SUM(I5:I25)</f>
        <v>6912</v>
      </c>
      <c r="J26" s="96">
        <f t="shared" ref="J26:P26" si="5">SUM(J5:J25)</f>
        <v>11538558.769268185</v>
      </c>
      <c r="K26" s="95">
        <f t="shared" si="5"/>
        <v>11538559</v>
      </c>
      <c r="L26" s="95">
        <f>SUM(L5:L25)</f>
        <v>576161473.77037823</v>
      </c>
      <c r="M26" s="129">
        <f>SUM(M5:M25)</f>
        <v>576165157</v>
      </c>
      <c r="N26" s="95">
        <f>SUM(N5:N25)</f>
        <v>39753078.325648263</v>
      </c>
      <c r="O26" s="129">
        <f>SUM(O5:O25)</f>
        <v>39753078</v>
      </c>
      <c r="P26" s="95">
        <f t="shared" si="5"/>
        <v>0</v>
      </c>
      <c r="Q26" s="96">
        <f>SUM(Q5:Q25)</f>
        <v>0</v>
      </c>
    </row>
    <row r="28" spans="1:18" x14ac:dyDescent="0.25">
      <c r="F28" s="11" t="s">
        <v>56</v>
      </c>
      <c r="G28" s="11"/>
      <c r="H28" t="s">
        <v>57</v>
      </c>
      <c r="M28" s="12">
        <f>+L26+N26</f>
        <v>615914552.09602654</v>
      </c>
    </row>
    <row r="29" spans="1:18" x14ac:dyDescent="0.25">
      <c r="M29" s="12">
        <f>+M26+O26</f>
        <v>615918235</v>
      </c>
      <c r="N29" s="12"/>
    </row>
    <row r="30" spans="1:18" x14ac:dyDescent="0.25">
      <c r="M30" s="141">
        <f>+M29-M28</f>
        <v>3682.9039734601974</v>
      </c>
      <c r="N30" s="12"/>
    </row>
    <row r="32" spans="1:18" ht="15" x14ac:dyDescent="0.25">
      <c r="L32" s="57"/>
      <c r="M32" s="57"/>
    </row>
    <row r="37" spans="12:20" x14ac:dyDescent="0.25">
      <c r="S37" s="15"/>
      <c r="T37" s="15"/>
    </row>
    <row r="39" spans="12:20" s="15" customFormat="1" ht="20.25" customHeight="1" x14ac:dyDescent="0.25">
      <c r="S39"/>
      <c r="T39"/>
    </row>
    <row r="41" spans="12:20" x14ac:dyDescent="0.25">
      <c r="L41" s="12"/>
      <c r="M41" s="12"/>
      <c r="N41" s="12"/>
      <c r="O41" s="12"/>
    </row>
  </sheetData>
  <autoFilter ref="A3:Q26" xr:uid="{01CE1415-11EC-4377-BD50-09FB825329CE}"/>
  <mergeCells count="4">
    <mergeCell ref="A3:A4"/>
    <mergeCell ref="S3:T3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  <headerFooter>
    <oddHeader>&amp;C&amp;"Arial"&amp;8&amp;K000000INTERNAL&amp;1#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47A16-766D-4274-84E1-281E3204E567}">
  <sheetPr codeName="Hoja2">
    <tabColor rgb="FFFF0000"/>
  </sheetPr>
  <dimension ref="A2:O39"/>
  <sheetViews>
    <sheetView tabSelected="1" topLeftCell="A4" zoomScale="80" zoomScaleNormal="80" workbookViewId="0">
      <selection activeCell="K15" sqref="K15"/>
    </sheetView>
  </sheetViews>
  <sheetFormatPr baseColWidth="10" defaultRowHeight="13.5" x14ac:dyDescent="0.25"/>
  <cols>
    <col min="1" max="1" width="17.7109375" bestFit="1" customWidth="1"/>
    <col min="2" max="2" width="13" bestFit="1" customWidth="1"/>
    <col min="3" max="3" width="20.140625" bestFit="1" customWidth="1"/>
    <col min="4" max="4" width="24.5703125" bestFit="1" customWidth="1"/>
    <col min="5" max="5" width="15" customWidth="1"/>
    <col min="6" max="6" width="15.140625" customWidth="1"/>
    <col min="7" max="7" width="19" bestFit="1" customWidth="1"/>
    <col min="8" max="8" width="15.28515625" customWidth="1"/>
    <col min="9" max="9" width="13.7109375" bestFit="1" customWidth="1"/>
    <col min="10" max="10" width="18.85546875" customWidth="1"/>
    <col min="11" max="11" width="20.28515625" customWidth="1"/>
    <col min="12" max="12" width="13" customWidth="1"/>
    <col min="13" max="13" width="13.28515625" bestFit="1" customWidth="1"/>
    <col min="14" max="14" width="15.140625" bestFit="1" customWidth="1"/>
    <col min="15" max="15" width="13.28515625" bestFit="1" customWidth="1"/>
    <col min="16" max="16" width="22" bestFit="1" customWidth="1"/>
  </cols>
  <sheetData>
    <row r="2" spans="1:15" x14ac:dyDescent="0.25">
      <c r="A2" s="19" t="s">
        <v>18</v>
      </c>
      <c r="B2" s="20"/>
      <c r="C2" s="20" t="s">
        <v>19</v>
      </c>
      <c r="D2" s="21" t="s">
        <v>20</v>
      </c>
      <c r="E2" s="22"/>
      <c r="F2" s="22"/>
      <c r="G2" s="22"/>
    </row>
    <row r="3" spans="1:15" x14ac:dyDescent="0.25">
      <c r="A3" s="23" t="s">
        <v>21</v>
      </c>
      <c r="B3" s="22" t="s">
        <v>22</v>
      </c>
      <c r="C3" s="22">
        <v>79.322000000000003</v>
      </c>
      <c r="D3" s="24" t="s">
        <v>23</v>
      </c>
      <c r="E3" s="72"/>
      <c r="F3" s="22"/>
      <c r="G3" s="71"/>
    </row>
    <row r="4" spans="1:15" x14ac:dyDescent="0.25">
      <c r="A4" s="25" t="s">
        <v>24</v>
      </c>
      <c r="B4" s="26" t="s">
        <v>25</v>
      </c>
      <c r="C4" s="26">
        <v>8.3592999999999993</v>
      </c>
      <c r="D4" s="27" t="s">
        <v>23</v>
      </c>
      <c r="E4" s="72"/>
      <c r="F4" s="22"/>
      <c r="G4" s="71"/>
      <c r="H4" s="97" t="s">
        <v>59</v>
      </c>
    </row>
    <row r="5" spans="1:15" x14ac:dyDescent="0.25">
      <c r="A5" s="19" t="s">
        <v>18</v>
      </c>
      <c r="B5" s="20"/>
      <c r="C5" s="20" t="s">
        <v>19</v>
      </c>
      <c r="D5" s="21" t="s">
        <v>20</v>
      </c>
      <c r="E5" s="22"/>
      <c r="F5" s="22"/>
      <c r="G5" s="19" t="s">
        <v>58</v>
      </c>
      <c r="H5" s="91">
        <v>2.9801428177412888</v>
      </c>
    </row>
    <row r="6" spans="1:15" x14ac:dyDescent="0.25">
      <c r="A6" s="23" t="s">
        <v>26</v>
      </c>
      <c r="B6" s="22"/>
      <c r="C6" s="22">
        <v>694.38</v>
      </c>
      <c r="D6" s="24" t="s">
        <v>72</v>
      </c>
      <c r="E6" s="22"/>
      <c r="F6" s="22"/>
      <c r="G6" s="67" t="s">
        <v>54</v>
      </c>
      <c r="H6" s="92">
        <v>0.87534183766412499</v>
      </c>
    </row>
    <row r="7" spans="1:15" x14ac:dyDescent="0.25">
      <c r="A7" s="23" t="s">
        <v>27</v>
      </c>
      <c r="B7" s="22"/>
      <c r="C7" s="94">
        <v>255.22200000000001</v>
      </c>
      <c r="D7" s="24"/>
      <c r="E7" s="22"/>
      <c r="F7" s="22"/>
      <c r="G7" s="68" t="s">
        <v>55</v>
      </c>
      <c r="H7" s="93">
        <v>0.913295382872503</v>
      </c>
      <c r="K7" s="55"/>
    </row>
    <row r="8" spans="1:15" x14ac:dyDescent="0.25">
      <c r="A8" s="23" t="s">
        <v>28</v>
      </c>
      <c r="B8" s="22"/>
      <c r="C8" s="28">
        <v>237.09</v>
      </c>
      <c r="D8" s="29" t="s">
        <v>29</v>
      </c>
      <c r="E8" s="22"/>
      <c r="F8" s="22"/>
      <c r="G8" s="22"/>
      <c r="O8" s="55"/>
    </row>
    <row r="9" spans="1:15" x14ac:dyDescent="0.25">
      <c r="A9" s="25" t="s">
        <v>30</v>
      </c>
      <c r="B9" s="26"/>
      <c r="C9" s="30"/>
      <c r="D9" s="31" t="s">
        <v>73</v>
      </c>
      <c r="E9" s="22"/>
      <c r="F9" s="22"/>
      <c r="G9" s="22"/>
      <c r="O9" s="55"/>
    </row>
    <row r="10" spans="1:15" x14ac:dyDescent="0.25">
      <c r="A10" s="22"/>
      <c r="B10" s="22"/>
      <c r="C10" s="22"/>
      <c r="D10" s="22"/>
      <c r="E10" s="22"/>
      <c r="F10" s="22"/>
      <c r="G10" s="22"/>
    </row>
    <row r="11" spans="1:15" x14ac:dyDescent="0.25">
      <c r="A11" s="43"/>
      <c r="B11" s="43"/>
      <c r="C11" s="44"/>
      <c r="D11" s="43"/>
      <c r="E11" s="43"/>
      <c r="F11" s="43"/>
      <c r="G11" s="43"/>
      <c r="H11" s="45"/>
      <c r="I11" s="65"/>
      <c r="J11" s="45"/>
    </row>
    <row r="12" spans="1:15" ht="25.5" x14ac:dyDescent="0.25">
      <c r="A12" s="46" t="s">
        <v>48</v>
      </c>
      <c r="B12" s="46" t="s">
        <v>31</v>
      </c>
      <c r="C12" s="46" t="s">
        <v>49</v>
      </c>
      <c r="D12" s="46" t="s">
        <v>32</v>
      </c>
      <c r="E12" s="46" t="s">
        <v>53</v>
      </c>
      <c r="F12" s="46" t="s">
        <v>33</v>
      </c>
      <c r="G12" s="46" t="s">
        <v>34</v>
      </c>
      <c r="H12" s="46" t="s">
        <v>35</v>
      </c>
      <c r="I12" s="46" t="s">
        <v>36</v>
      </c>
      <c r="J12" s="73" t="s">
        <v>36</v>
      </c>
      <c r="K12" s="74" t="s">
        <v>50</v>
      </c>
      <c r="L12" s="109" t="s">
        <v>102</v>
      </c>
      <c r="M12" s="109" t="s">
        <v>103</v>
      </c>
      <c r="N12" s="115" t="s">
        <v>104</v>
      </c>
      <c r="O12" s="115" t="s">
        <v>105</v>
      </c>
    </row>
    <row r="13" spans="1:15" x14ac:dyDescent="0.25">
      <c r="A13" s="22" t="s">
        <v>71</v>
      </c>
      <c r="B13" s="22" t="s">
        <v>16</v>
      </c>
      <c r="C13" s="47"/>
      <c r="D13" s="48">
        <v>0.98270000000000002</v>
      </c>
      <c r="E13" s="48">
        <v>1.0017</v>
      </c>
      <c r="F13" s="49">
        <f>($C$3*$C$7/$C$8-$H$5)*D13</f>
        <v>80.982526888177091</v>
      </c>
      <c r="G13" s="49">
        <f>$C$4*$C$7/$C$8*E13</f>
        <v>9.0138942003029214</v>
      </c>
      <c r="H13" s="49">
        <f>F13*$C$6/1000</f>
        <v>56.232647020612404</v>
      </c>
      <c r="I13" s="66">
        <f>G13*$C$6</f>
        <v>6259.0678548063424</v>
      </c>
      <c r="J13" s="114">
        <f>I13*$H$7</f>
        <v>5716.3777728803343</v>
      </c>
      <c r="K13" s="50">
        <f>H13*$H$6</f>
        <v>49.222788579740943</v>
      </c>
      <c r="L13" s="55">
        <v>49.223097557366735</v>
      </c>
      <c r="M13" s="55">
        <v>5716.3778141554931</v>
      </c>
      <c r="N13" s="116">
        <f>+K13/L13-1</f>
        <v>-6.2770861877226025E-6</v>
      </c>
      <c r="O13" s="117">
        <f>+J13/M13-1</f>
        <v>-7.2205091905530594E-9</v>
      </c>
    </row>
    <row r="14" spans="1:15" x14ac:dyDescent="0.25">
      <c r="A14" s="22" t="s">
        <v>71</v>
      </c>
      <c r="B14" s="22" t="s">
        <v>63</v>
      </c>
      <c r="C14" s="47"/>
      <c r="D14" s="48">
        <v>1.0051000000000001</v>
      </c>
      <c r="E14" s="48">
        <v>1.0111000000000001</v>
      </c>
      <c r="F14" s="49">
        <f t="shared" ref="F14:F19" si="0">($C$3*$C$7/$C$8-$H$5)*D14</f>
        <v>82.828470311699192</v>
      </c>
      <c r="G14" s="49">
        <f t="shared" ref="G14:G15" si="1">$C$4*$C$7/$C$8*E14</f>
        <v>9.0984810082123246</v>
      </c>
      <c r="H14" s="49">
        <f t="shared" ref="H14:H15" si="2">F14*$C$6/1000</f>
        <v>57.514433215037684</v>
      </c>
      <c r="I14" s="66">
        <f>G14*$C$6</f>
        <v>6317.8032424824742</v>
      </c>
      <c r="J14" s="114">
        <f t="shared" ref="J14:J19" si="3">I14*$H$7</f>
        <v>5770.020531256172</v>
      </c>
      <c r="K14" s="50">
        <f>H14*$H$6</f>
        <v>50.344789662661675</v>
      </c>
      <c r="L14" s="55">
        <v>50.34441045141449</v>
      </c>
      <c r="M14" s="55">
        <v>5770.0204924571253</v>
      </c>
      <c r="N14" s="116">
        <f t="shared" ref="N14:N19" si="4">+K14/L14-1</f>
        <v>7.5323406072413945E-6</v>
      </c>
      <c r="O14" s="117">
        <f t="shared" ref="O14:O19" si="5">+J14/M14-1</f>
        <v>6.7242476031736942E-9</v>
      </c>
    </row>
    <row r="15" spans="1:15" x14ac:dyDescent="0.25">
      <c r="A15" s="22" t="s">
        <v>71</v>
      </c>
      <c r="B15" s="22" t="s">
        <v>64</v>
      </c>
      <c r="C15" s="47"/>
      <c r="D15" s="48">
        <v>0.99890000000000001</v>
      </c>
      <c r="E15" s="48">
        <v>1.0122</v>
      </c>
      <c r="F15" s="49">
        <f t="shared" si="0"/>
        <v>82.317539542688607</v>
      </c>
      <c r="G15" s="49">
        <f t="shared" si="1"/>
        <v>9.1083794644570393</v>
      </c>
      <c r="H15" s="49">
        <f t="shared" si="2"/>
        <v>57.159653107652112</v>
      </c>
      <c r="I15" s="66">
        <f>G15*$C$6</f>
        <v>6324.6765325296792</v>
      </c>
      <c r="J15" s="114">
        <f t="shared" si="3"/>
        <v>5776.2978753214284</v>
      </c>
      <c r="K15" s="50">
        <f t="shared" ref="K15:K19" si="6">H15*$H$6</f>
        <v>50.034235791496116</v>
      </c>
      <c r="L15" s="55">
        <v>50.034539440881382</v>
      </c>
      <c r="M15" s="55">
        <v>5776.2978456122219</v>
      </c>
      <c r="N15" s="116">
        <f t="shared" si="4"/>
        <v>-6.0687954492877338E-6</v>
      </c>
      <c r="O15" s="117">
        <f t="shared" si="5"/>
        <v>5.1432955672225944E-9</v>
      </c>
    </row>
    <row r="16" spans="1:15" x14ac:dyDescent="0.25">
      <c r="A16" s="22" t="s">
        <v>71</v>
      </c>
      <c r="B16" s="22" t="s">
        <v>65</v>
      </c>
      <c r="C16" s="47"/>
      <c r="D16" s="48">
        <v>1.0034000000000001</v>
      </c>
      <c r="E16" s="48">
        <v>1.0150999999999999</v>
      </c>
      <c r="F16" s="49">
        <f t="shared" si="0"/>
        <v>82.688376391164041</v>
      </c>
      <c r="G16" s="49">
        <f>$C$4*$C$7/$C$8*E16</f>
        <v>9.1344753945567483</v>
      </c>
      <c r="H16" s="49">
        <f>F16*$C$6/1000</f>
        <v>57.417154798496483</v>
      </c>
      <c r="I16" s="66">
        <f>G16*$C$6</f>
        <v>6342.7970244723147</v>
      </c>
      <c r="J16" s="114">
        <f t="shared" si="3"/>
        <v>5792.8472369480151</v>
      </c>
      <c r="K16" s="50">
        <f t="shared" si="6"/>
        <v>50.259637794761446</v>
      </c>
      <c r="L16" s="55">
        <v>50.259502293161063</v>
      </c>
      <c r="M16" s="55">
        <v>5792.8472145975629</v>
      </c>
      <c r="N16" s="116">
        <f t="shared" si="4"/>
        <v>2.6960394392538944E-6</v>
      </c>
      <c r="O16" s="117">
        <f t="shared" si="5"/>
        <v>3.8582843586709714E-9</v>
      </c>
    </row>
    <row r="17" spans="1:15" x14ac:dyDescent="0.25">
      <c r="A17" s="22" t="s">
        <v>71</v>
      </c>
      <c r="B17" t="s">
        <v>66</v>
      </c>
      <c r="D17" s="48">
        <v>0.96660000000000001</v>
      </c>
      <c r="E17" s="48">
        <v>0.96940000000000004</v>
      </c>
      <c r="F17" s="49">
        <f t="shared" si="0"/>
        <v>79.65575505252059</v>
      </c>
      <c r="G17" s="49">
        <f t="shared" ref="G17:G19" si="7">$C$4*$C$7/$C$8*E17</f>
        <v>8.7232395305716803</v>
      </c>
      <c r="H17" s="49">
        <f t="shared" ref="H17:H19" si="8">F17*$C$6/1000</f>
        <v>55.311363193369246</v>
      </c>
      <c r="I17" s="66">
        <f t="shared" ref="I17:I19" si="9">G17*$C$6</f>
        <v>6057.2430652383637</v>
      </c>
      <c r="J17" s="114">
        <f t="shared" si="3"/>
        <v>5532.0521244186848</v>
      </c>
      <c r="K17" s="50">
        <f t="shared" si="6"/>
        <v>48.416350301391681</v>
      </c>
      <c r="L17" s="55">
        <v>48.416032383040417</v>
      </c>
      <c r="M17" s="55">
        <v>5532.0521561663263</v>
      </c>
      <c r="N17" s="116">
        <f t="shared" si="4"/>
        <v>6.5663858770381722E-6</v>
      </c>
      <c r="O17" s="117">
        <f t="shared" si="5"/>
        <v>-5.738854391701409E-9</v>
      </c>
    </row>
    <row r="18" spans="1:15" x14ac:dyDescent="0.25">
      <c r="A18" s="22" t="s">
        <v>71</v>
      </c>
      <c r="B18" t="s">
        <v>67</v>
      </c>
      <c r="D18" s="48">
        <v>1</v>
      </c>
      <c r="E18" s="48">
        <v>1</v>
      </c>
      <c r="F18" s="49">
        <f t="shared" si="0"/>
        <v>82.408188550093712</v>
      </c>
      <c r="G18" s="49">
        <f t="shared" si="7"/>
        <v>8.9985965861065402</v>
      </c>
      <c r="H18" s="49">
        <f t="shared" si="8"/>
        <v>57.222597965414067</v>
      </c>
      <c r="I18" s="66">
        <f t="shared" si="9"/>
        <v>6248.4454974606597</v>
      </c>
      <c r="J18" s="114">
        <f t="shared" si="3"/>
        <v>5706.6764229613009</v>
      </c>
      <c r="K18" s="50">
        <f t="shared" si="6"/>
        <v>50.089334058960972</v>
      </c>
      <c r="L18" s="113">
        <v>50.089685976654224</v>
      </c>
      <c r="M18" s="113">
        <v>5706.6764252804687</v>
      </c>
      <c r="N18" s="116">
        <f t="shared" si="4"/>
        <v>-7.025751637135258E-6</v>
      </c>
      <c r="O18" s="117">
        <f t="shared" si="5"/>
        <v>-4.0639558385180408E-10</v>
      </c>
    </row>
    <row r="19" spans="1:15" x14ac:dyDescent="0.25">
      <c r="A19" s="22" t="s">
        <v>71</v>
      </c>
      <c r="B19" t="s">
        <v>68</v>
      </c>
      <c r="D19" s="48">
        <v>1.0077</v>
      </c>
      <c r="E19" s="48">
        <v>1.0124</v>
      </c>
      <c r="F19" s="49">
        <f t="shared" si="0"/>
        <v>83.042731601929432</v>
      </c>
      <c r="G19" s="49">
        <f t="shared" si="7"/>
        <v>9.1101791837742603</v>
      </c>
      <c r="H19" s="49">
        <f t="shared" si="8"/>
        <v>57.663211969747763</v>
      </c>
      <c r="I19" s="66">
        <f t="shared" si="9"/>
        <v>6325.9262216291709</v>
      </c>
      <c r="J19" s="114">
        <f t="shared" si="3"/>
        <v>5777.4392106060195</v>
      </c>
      <c r="K19" s="50">
        <f t="shared" si="6"/>
        <v>50.475021931214975</v>
      </c>
      <c r="L19" s="55">
        <v>50.474836385226439</v>
      </c>
      <c r="M19" s="55">
        <v>5777.4391908521975</v>
      </c>
      <c r="N19" s="116">
        <f t="shared" si="4"/>
        <v>3.6760097075205778E-6</v>
      </c>
      <c r="O19" s="117">
        <f t="shared" si="5"/>
        <v>3.4191312003883922E-9</v>
      </c>
    </row>
    <row r="22" spans="1:15" x14ac:dyDescent="0.25">
      <c r="E22" s="90"/>
    </row>
    <row r="24" spans="1:15" x14ac:dyDescent="0.25">
      <c r="H24" t="s">
        <v>76</v>
      </c>
      <c r="I24" s="22"/>
      <c r="J24" t="s">
        <v>77</v>
      </c>
    </row>
    <row r="25" spans="1:15" x14ac:dyDescent="0.25">
      <c r="G25" t="s">
        <v>78</v>
      </c>
      <c r="H25">
        <v>694.38</v>
      </c>
      <c r="I25" s="22"/>
      <c r="J25" s="112">
        <v>0.87534183766412499</v>
      </c>
      <c r="K25" s="112">
        <v>0.913295382872503</v>
      </c>
    </row>
    <row r="26" spans="1:15" x14ac:dyDescent="0.25">
      <c r="I26" s="22"/>
    </row>
    <row r="27" spans="1:15" x14ac:dyDescent="0.25">
      <c r="D27" t="s">
        <v>79</v>
      </c>
      <c r="E27" t="s">
        <v>80</v>
      </c>
      <c r="F27" t="s">
        <v>81</v>
      </c>
      <c r="G27" t="s">
        <v>80</v>
      </c>
      <c r="H27" t="s">
        <v>81</v>
      </c>
      <c r="I27" s="22" t="s">
        <v>79</v>
      </c>
      <c r="J27" t="s">
        <v>80</v>
      </c>
      <c r="K27" t="s">
        <v>81</v>
      </c>
      <c r="L27" t="s">
        <v>80</v>
      </c>
      <c r="M27" t="s">
        <v>81</v>
      </c>
      <c r="N27" t="s">
        <v>82</v>
      </c>
      <c r="O27" t="s">
        <v>83</v>
      </c>
    </row>
    <row r="28" spans="1:15" x14ac:dyDescent="0.25">
      <c r="D28" t="s">
        <v>22</v>
      </c>
      <c r="E28" t="s">
        <v>22</v>
      </c>
      <c r="F28" t="s">
        <v>84</v>
      </c>
      <c r="G28" t="s">
        <v>85</v>
      </c>
      <c r="H28" t="s">
        <v>86</v>
      </c>
      <c r="I28" t="s">
        <v>85</v>
      </c>
      <c r="J28" t="s">
        <v>85</v>
      </c>
      <c r="K28" t="s">
        <v>86</v>
      </c>
    </row>
    <row r="29" spans="1:15" x14ac:dyDescent="0.25">
      <c r="A29" t="s">
        <v>87</v>
      </c>
      <c r="B29" t="s">
        <v>88</v>
      </c>
      <c r="C29" t="s">
        <v>89</v>
      </c>
      <c r="D29" s="111">
        <v>2.9801368180738366</v>
      </c>
      <c r="E29" s="111">
        <v>85.388331367835008</v>
      </c>
      <c r="F29" s="111">
        <v>8.9985965861065402</v>
      </c>
      <c r="G29" s="111">
        <v>59.29195</v>
      </c>
      <c r="H29" s="111">
        <v>6248.4454999999998</v>
      </c>
      <c r="I29" s="111">
        <v>2.0693474037341106</v>
      </c>
      <c r="J29" s="111">
        <v>50.088999999999999</v>
      </c>
      <c r="K29" s="111">
        <v>5706.6760000000004</v>
      </c>
      <c r="L29" s="111">
        <v>57.222999999999999</v>
      </c>
      <c r="M29" s="111">
        <v>6248.4454999999998</v>
      </c>
      <c r="N29" s="111">
        <v>50.089685976654224</v>
      </c>
      <c r="O29" s="110">
        <v>5706.6764252804687</v>
      </c>
    </row>
    <row r="30" spans="1:15" x14ac:dyDescent="0.25">
      <c r="A30" t="s">
        <v>87</v>
      </c>
      <c r="B30" t="s">
        <v>90</v>
      </c>
      <c r="C30" t="s">
        <v>91</v>
      </c>
      <c r="D30" s="111">
        <v>2.9285804511211593</v>
      </c>
      <c r="E30" s="111">
        <v>83.91111323517147</v>
      </c>
      <c r="F30" s="111">
        <v>9.0138942003029214</v>
      </c>
      <c r="G30" s="111">
        <v>58.266199999999998</v>
      </c>
      <c r="H30" s="111">
        <v>6259.0678500000004</v>
      </c>
      <c r="I30" s="111">
        <v>2.0335476936495107</v>
      </c>
      <c r="J30" s="111">
        <v>49.222999999999999</v>
      </c>
      <c r="K30" s="111">
        <v>5716.3779999999997</v>
      </c>
      <c r="L30" s="111">
        <v>56.232999999999997</v>
      </c>
      <c r="M30" s="111">
        <v>6259.0679</v>
      </c>
      <c r="N30" s="111">
        <v>49.223097557366735</v>
      </c>
      <c r="O30" s="110">
        <v>5716.3778141554931</v>
      </c>
    </row>
    <row r="31" spans="1:15" x14ac:dyDescent="0.25">
      <c r="A31" t="s">
        <v>87</v>
      </c>
      <c r="B31" t="s">
        <v>92</v>
      </c>
      <c r="C31" t="s">
        <v>93</v>
      </c>
      <c r="D31" s="111">
        <v>2.9953355158460133</v>
      </c>
      <c r="E31" s="111">
        <v>85.823811857810981</v>
      </c>
      <c r="F31" s="111">
        <v>9.0984810082123246</v>
      </c>
      <c r="G31" s="111">
        <v>59.594340000000003</v>
      </c>
      <c r="H31" s="111">
        <v>6317.8032400000002</v>
      </c>
      <c r="I31" s="111">
        <v>2.0799010754931548</v>
      </c>
      <c r="J31" s="111">
        <v>50.344999999999999</v>
      </c>
      <c r="K31" s="111">
        <v>5770.0209999999997</v>
      </c>
      <c r="L31" s="111">
        <v>57.514000000000003</v>
      </c>
      <c r="M31" s="111">
        <v>6317.8032000000003</v>
      </c>
      <c r="N31" s="111">
        <v>50.34441045141449</v>
      </c>
      <c r="O31" s="110">
        <v>5770.0204924571253</v>
      </c>
    </row>
    <row r="32" spans="1:15" x14ac:dyDescent="0.25">
      <c r="A32" t="s">
        <v>87</v>
      </c>
      <c r="B32" t="s">
        <v>94</v>
      </c>
      <c r="C32" t="s">
        <v>95</v>
      </c>
      <c r="D32" s="111">
        <v>2.9768586675739552</v>
      </c>
      <c r="E32" s="111">
        <v>85.294404203330387</v>
      </c>
      <c r="F32" s="111">
        <v>9.1083794644570393</v>
      </c>
      <c r="G32" s="111">
        <v>59.226730000000003</v>
      </c>
      <c r="H32" s="111">
        <v>6324.6765299999997</v>
      </c>
      <c r="I32" s="111">
        <v>2.0670711215900028</v>
      </c>
      <c r="J32" s="111">
        <v>50.033999999999999</v>
      </c>
      <c r="K32" s="111">
        <v>5776.2979999999998</v>
      </c>
      <c r="L32" s="111">
        <v>57.16</v>
      </c>
      <c r="M32" s="111">
        <v>6324.6764999999996</v>
      </c>
      <c r="N32" s="111">
        <v>50.034539440881382</v>
      </c>
      <c r="O32" s="110">
        <v>5776.2978456122219</v>
      </c>
    </row>
    <row r="33" spans="1:15" x14ac:dyDescent="0.25">
      <c r="A33" t="s">
        <v>87</v>
      </c>
      <c r="B33" t="s">
        <v>96</v>
      </c>
      <c r="C33" t="s">
        <v>97</v>
      </c>
      <c r="D33" s="111">
        <v>2.9902692832552877</v>
      </c>
      <c r="E33" s="111">
        <v>85.678651694485652</v>
      </c>
      <c r="F33" s="111">
        <v>9.1344753945567483</v>
      </c>
      <c r="G33" s="111">
        <v>59.493540000000003</v>
      </c>
      <c r="H33" s="111">
        <v>6342.79702</v>
      </c>
      <c r="I33" s="111">
        <v>2.0763831849068066</v>
      </c>
      <c r="J33" s="111">
        <v>50.26</v>
      </c>
      <c r="K33" s="111">
        <v>5792.8469999999998</v>
      </c>
      <c r="L33" s="111">
        <v>57.417000000000002</v>
      </c>
      <c r="M33" s="111">
        <v>6342.7969999999996</v>
      </c>
      <c r="N33" s="111">
        <v>50.259502293161063</v>
      </c>
      <c r="O33" s="110">
        <v>5792.8472145975629</v>
      </c>
    </row>
    <row r="34" spans="1:15" x14ac:dyDescent="0.25">
      <c r="A34" t="s">
        <v>87</v>
      </c>
      <c r="B34" t="s">
        <v>98</v>
      </c>
      <c r="C34" t="s">
        <v>99</v>
      </c>
      <c r="D34" s="111">
        <v>2.8806002483501705</v>
      </c>
      <c r="E34" s="111">
        <v>82.536361100149321</v>
      </c>
      <c r="F34" s="111">
        <v>8.7232395305716803</v>
      </c>
      <c r="G34" s="111">
        <v>57.311599999999999</v>
      </c>
      <c r="H34" s="111">
        <v>6057.2430700000004</v>
      </c>
      <c r="I34" s="111">
        <v>2.0002312004493912</v>
      </c>
      <c r="J34" s="111">
        <v>48.415999999999997</v>
      </c>
      <c r="K34" s="111">
        <v>5532.0519999999997</v>
      </c>
      <c r="L34" s="111">
        <v>55.311</v>
      </c>
      <c r="M34" s="111">
        <v>6057.2430999999997</v>
      </c>
      <c r="N34" s="111">
        <v>48.416032383040417</v>
      </c>
      <c r="O34" s="110">
        <v>5532.0521561663263</v>
      </c>
    </row>
    <row r="35" spans="1:15" x14ac:dyDescent="0.25">
      <c r="A35" t="s">
        <v>87</v>
      </c>
      <c r="B35" t="s">
        <v>100</v>
      </c>
      <c r="C35" t="s">
        <v>101</v>
      </c>
      <c r="D35" s="111">
        <v>3.003083871573005</v>
      </c>
      <c r="E35" s="111">
        <v>86.045821519367337</v>
      </c>
      <c r="F35" s="111">
        <v>9.1101791837742603</v>
      </c>
      <c r="G35" s="111">
        <v>59.7485</v>
      </c>
      <c r="H35" s="111">
        <v>6325.9262200000003</v>
      </c>
      <c r="I35" s="111">
        <v>2.085281378742863</v>
      </c>
      <c r="J35" s="111">
        <v>50.475000000000001</v>
      </c>
      <c r="K35" s="111">
        <v>5777.4390000000003</v>
      </c>
      <c r="L35" s="111">
        <v>57.662999999999997</v>
      </c>
      <c r="M35" s="111">
        <v>6325.9261999999999</v>
      </c>
      <c r="N35" s="111">
        <v>50.474836385226439</v>
      </c>
      <c r="O35" s="110">
        <v>5777.4391908521975</v>
      </c>
    </row>
    <row r="39" spans="1:15" x14ac:dyDescent="0.25">
      <c r="J39" s="130" t="s">
        <v>110</v>
      </c>
    </row>
  </sheetData>
  <pageMargins left="0.7" right="0.7" top="0.75" bottom="0.75" header="0.3" footer="0.3"/>
  <pageSetup paperSize="9" orientation="portrait" horizontalDpi="300" verticalDpi="300" r:id="rId1"/>
  <headerFooter>
    <oddHeader>&amp;C&amp;"Arial"&amp;8&amp;K000000INTERNAL&amp;1#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3:R8"/>
  <sheetViews>
    <sheetView zoomScale="90" zoomScaleNormal="90" workbookViewId="0">
      <selection activeCell="J8" sqref="J8"/>
    </sheetView>
  </sheetViews>
  <sheetFormatPr baseColWidth="10" defaultRowHeight="13.5" x14ac:dyDescent="0.25"/>
  <cols>
    <col min="1" max="1" width="21" bestFit="1" customWidth="1"/>
    <col min="3" max="3" width="15.28515625" bestFit="1" customWidth="1"/>
    <col min="4" max="4" width="16" bestFit="1" customWidth="1"/>
    <col min="5" max="5" width="12.28515625" bestFit="1" customWidth="1"/>
    <col min="6" max="6" width="14.85546875" bestFit="1" customWidth="1"/>
    <col min="7" max="7" width="12.42578125" bestFit="1" customWidth="1"/>
    <col min="8" max="8" width="13" bestFit="1" customWidth="1"/>
    <col min="9" max="10" width="12.28515625" bestFit="1" customWidth="1"/>
    <col min="11" max="11" width="14" bestFit="1" customWidth="1"/>
    <col min="12" max="12" width="14.5703125" bestFit="1" customWidth="1"/>
    <col min="13" max="13" width="10" bestFit="1" customWidth="1"/>
    <col min="14" max="14" width="14" bestFit="1" customWidth="1"/>
    <col min="15" max="15" width="11.28515625" bestFit="1" customWidth="1"/>
    <col min="16" max="16" width="11.7109375" customWidth="1"/>
    <col min="17" max="17" width="11.28515625" bestFit="1" customWidth="1"/>
  </cols>
  <sheetData>
    <row r="3" spans="1:18" ht="15.75" thickBot="1" x14ac:dyDescent="0.3">
      <c r="A3" s="34" t="s">
        <v>39</v>
      </c>
      <c r="B3" s="34" t="s">
        <v>61</v>
      </c>
    </row>
    <row r="4" spans="1:18" ht="14.25" thickBot="1" x14ac:dyDescent="0.3">
      <c r="C4" s="138" t="s">
        <v>69</v>
      </c>
      <c r="D4" s="139"/>
      <c r="E4" s="139"/>
      <c r="F4" s="139"/>
      <c r="G4" s="139"/>
      <c r="H4" s="139"/>
      <c r="I4" s="139"/>
      <c r="J4" s="140"/>
      <c r="K4" s="138" t="s">
        <v>70</v>
      </c>
      <c r="L4" s="139"/>
      <c r="M4" s="139"/>
      <c r="N4" s="139"/>
      <c r="O4" s="139"/>
      <c r="P4" s="139"/>
      <c r="Q4" s="139"/>
      <c r="R4" s="140"/>
    </row>
    <row r="5" spans="1:18" ht="15.75" thickBot="1" x14ac:dyDescent="0.3">
      <c r="A5" s="35" t="s">
        <v>41</v>
      </c>
      <c r="B5" s="36" t="s">
        <v>42</v>
      </c>
      <c r="C5" s="104" t="s">
        <v>16</v>
      </c>
      <c r="D5" s="104" t="s">
        <v>63</v>
      </c>
      <c r="E5" s="104" t="s">
        <v>64</v>
      </c>
      <c r="F5" s="104" t="s">
        <v>65</v>
      </c>
      <c r="G5" s="104" t="s">
        <v>66</v>
      </c>
      <c r="H5" s="104" t="s">
        <v>67</v>
      </c>
      <c r="I5" s="104" t="s">
        <v>68</v>
      </c>
      <c r="J5" s="105" t="s">
        <v>12</v>
      </c>
      <c r="K5" s="106" t="s">
        <v>16</v>
      </c>
      <c r="L5" s="104" t="s">
        <v>63</v>
      </c>
      <c r="M5" s="104" t="s">
        <v>64</v>
      </c>
      <c r="N5" s="104" t="s">
        <v>65</v>
      </c>
      <c r="O5" s="104" t="s">
        <v>66</v>
      </c>
      <c r="P5" s="104" t="s">
        <v>67</v>
      </c>
      <c r="Q5" s="104" t="s">
        <v>68</v>
      </c>
      <c r="R5" s="105" t="s">
        <v>12</v>
      </c>
    </row>
    <row r="6" spans="1:18" x14ac:dyDescent="0.25">
      <c r="A6" s="37" t="s">
        <v>43</v>
      </c>
      <c r="B6" s="38" t="s">
        <v>44</v>
      </c>
      <c r="C6" s="101">
        <v>724134.62797605561</v>
      </c>
      <c r="D6" s="101">
        <v>684417.9732828734</v>
      </c>
      <c r="E6" s="101">
        <v>1456444.3904670535</v>
      </c>
      <c r="F6" s="101">
        <v>1669.009679847404</v>
      </c>
      <c r="G6" s="101">
        <v>712.30542618569768</v>
      </c>
      <c r="H6" s="101">
        <v>547707.31558634131</v>
      </c>
      <c r="I6" s="101">
        <v>8126.3212956510142</v>
      </c>
      <c r="J6" s="102">
        <f>SUM(C6:I6)</f>
        <v>3423211.9437140073</v>
      </c>
      <c r="K6" s="101">
        <v>0</v>
      </c>
      <c r="L6" s="101">
        <v>0</v>
      </c>
      <c r="M6" s="101">
        <v>0</v>
      </c>
      <c r="N6" s="101">
        <v>0</v>
      </c>
      <c r="O6" s="101">
        <v>0</v>
      </c>
      <c r="P6" s="101">
        <v>0</v>
      </c>
      <c r="Q6" s="101">
        <v>0</v>
      </c>
      <c r="R6" s="102">
        <f>SUM(K6:Q6)</f>
        <v>0</v>
      </c>
    </row>
    <row r="7" spans="1:18" x14ac:dyDescent="0.25">
      <c r="A7" s="37" t="s">
        <v>43</v>
      </c>
      <c r="B7" s="38" t="s">
        <v>45</v>
      </c>
      <c r="C7" s="101">
        <v>1149535.7369188389</v>
      </c>
      <c r="D7" s="101">
        <v>1077696.5572413879</v>
      </c>
      <c r="E7" s="101">
        <v>2263746.4148633531</v>
      </c>
      <c r="F7" s="101">
        <v>2447.759414204635</v>
      </c>
      <c r="G7" s="101">
        <v>1063.7030195165737</v>
      </c>
      <c r="H7" s="101">
        <v>883127.27009275474</v>
      </c>
      <c r="I7" s="101">
        <v>12731.83387394579</v>
      </c>
      <c r="J7" s="103">
        <f t="shared" ref="J7:J8" si="0">SUM(C7:I7)</f>
        <v>5390349.2754240017</v>
      </c>
      <c r="K7" s="101">
        <v>0</v>
      </c>
      <c r="L7" s="101">
        <v>0</v>
      </c>
      <c r="M7" s="101">
        <v>0</v>
      </c>
      <c r="N7" s="101">
        <v>0</v>
      </c>
      <c r="O7" s="101">
        <v>0</v>
      </c>
      <c r="P7" s="101">
        <v>0</v>
      </c>
      <c r="Q7" s="101">
        <v>0</v>
      </c>
      <c r="R7" s="103">
        <f t="shared" ref="R7:R8" si="1">SUM(K7:Q7)</f>
        <v>0</v>
      </c>
    </row>
    <row r="8" spans="1:18" x14ac:dyDescent="0.25">
      <c r="A8" s="37" t="s">
        <v>43</v>
      </c>
      <c r="B8" s="38" t="s">
        <v>46</v>
      </c>
      <c r="C8" s="101">
        <v>578308.19154854107</v>
      </c>
      <c r="D8" s="101">
        <v>543735.67129468627</v>
      </c>
      <c r="E8" s="101">
        <v>1164952.478361421</v>
      </c>
      <c r="F8" s="101">
        <v>1106.610314569192</v>
      </c>
      <c r="G8" s="101">
        <v>482.82331040234362</v>
      </c>
      <c r="H8" s="101">
        <v>430020.0342473046</v>
      </c>
      <c r="I8" s="101">
        <v>6391.7410532516842</v>
      </c>
      <c r="J8" s="103">
        <f t="shared" si="0"/>
        <v>2724997.5501301759</v>
      </c>
      <c r="K8" s="101">
        <v>1467</v>
      </c>
      <c r="L8" s="101">
        <v>1379</v>
      </c>
      <c r="M8" s="101">
        <v>2955</v>
      </c>
      <c r="N8" s="101">
        <v>3</v>
      </c>
      <c r="O8" s="101">
        <v>1</v>
      </c>
      <c r="P8" s="101">
        <v>1091</v>
      </c>
      <c r="Q8" s="101">
        <v>16</v>
      </c>
      <c r="R8" s="103">
        <f t="shared" si="1"/>
        <v>6912</v>
      </c>
    </row>
  </sheetData>
  <mergeCells count="2">
    <mergeCell ref="C4:J4"/>
    <mergeCell ref="K4:R4"/>
  </mergeCells>
  <conditionalFormatting sqref="A3:B8">
    <cfRule type="cellIs" dxfId="6" priority="7" operator="lessThan">
      <formula>0</formula>
    </cfRule>
  </conditionalFormatting>
  <conditionalFormatting sqref="C5:J5">
    <cfRule type="cellIs" dxfId="5" priority="6" operator="lessThan">
      <formula>0</formula>
    </cfRule>
  </conditionalFormatting>
  <conditionalFormatting sqref="C6:I8">
    <cfRule type="cellIs" dxfId="4" priority="5" operator="lessThan">
      <formula>0</formula>
    </cfRule>
  </conditionalFormatting>
  <conditionalFormatting sqref="J6:J8">
    <cfRule type="cellIs" dxfId="3" priority="4" operator="lessThan">
      <formula>0</formula>
    </cfRule>
  </conditionalFormatting>
  <conditionalFormatting sqref="K5:R5">
    <cfRule type="cellIs" dxfId="2" priority="3" operator="lessThan">
      <formula>0</formula>
    </cfRule>
  </conditionalFormatting>
  <conditionalFormatting sqref="R6:R8">
    <cfRule type="cellIs" dxfId="1" priority="2" operator="lessThan">
      <formula>0</formula>
    </cfRule>
  </conditionalFormatting>
  <conditionalFormatting sqref="K6:Q8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horizontalDpi="300" verticalDpi="300" r:id="rId1"/>
  <headerFooter>
    <oddHeader>&amp;C&amp;"Arial"&amp;8&amp;K000000INTERNAL&amp;1#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CF742758FFD4145AB2260EEBE3B6123" ma:contentTypeVersion="11" ma:contentTypeDescription="Crear nuevo documento." ma:contentTypeScope="" ma:versionID="6799e50243711f67554b88495400037e">
  <xsd:schema xmlns:xsd="http://www.w3.org/2001/XMLSchema" xmlns:xs="http://www.w3.org/2001/XMLSchema" xmlns:p="http://schemas.microsoft.com/office/2006/metadata/properties" xmlns:ns2="9a3567c0-c5eb-4e09-82ba-a8f7afc7079c" xmlns:ns3="176e62ad-023e-437d-9d64-2e3138da992e" targetNamespace="http://schemas.microsoft.com/office/2006/metadata/properties" ma:root="true" ma:fieldsID="9552610bb445c2b16096a9d2cd8b3a9a" ns2:_="" ns3:_="">
    <xsd:import namespace="9a3567c0-c5eb-4e09-82ba-a8f7afc7079c"/>
    <xsd:import namespace="176e62ad-023e-437d-9d64-2e3138da99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3567c0-c5eb-4e09-82ba-a8f7afc707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6e62ad-023e-437d-9d64-2e3138da992e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A988E04-34E3-479E-AA61-7337945BBE3D}">
  <ds:schemaRefs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elements/1.1/"/>
    <ds:schemaRef ds:uri="176e62ad-023e-437d-9d64-2e3138da992e"/>
    <ds:schemaRef ds:uri="http://purl.org/dc/terms/"/>
    <ds:schemaRef ds:uri="9a3567c0-c5eb-4e09-82ba-a8f7afc7079c"/>
    <ds:schemaRef ds:uri="http://purl.org/dc/dcmitype/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1255F3BF-197C-4695-A378-604228FA52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63DC55C-A38E-4CF4-B106-CD0F5B07F3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3567c0-c5eb-4e09-82ba-a8f7afc7079c"/>
    <ds:schemaRef ds:uri="176e62ad-023e-437d-9d64-2e3138da99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Px</vt:lpstr>
      <vt:lpstr>ENEL DX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Muñoz Arriagada, Diego Luis</cp:lastModifiedBy>
  <dcterms:created xsi:type="dcterms:W3CDTF">2018-11-16T13:10:45Z</dcterms:created>
  <dcterms:modified xsi:type="dcterms:W3CDTF">2021-02-18T19:34:40Z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0183ae1-726f-4969-b787-1995b26b5e2f_Enabled">
    <vt:lpwstr>True</vt:lpwstr>
  </property>
  <property fmtid="{D5CDD505-2E9C-101B-9397-08002B2CF9AE}" pid="3" name="MSIP_Label_00183ae1-726f-4969-b787-1995b26b5e2f_SiteId">
    <vt:lpwstr>d539d4bf-5610-471a-afc2-1c76685cfefa</vt:lpwstr>
  </property>
  <property fmtid="{D5CDD505-2E9C-101B-9397-08002B2CF9AE}" pid="4" name="MSIP_Label_00183ae1-726f-4969-b787-1995b26b5e2f_Owner">
    <vt:lpwstr>diego.munoz@enel.com</vt:lpwstr>
  </property>
  <property fmtid="{D5CDD505-2E9C-101B-9397-08002B2CF9AE}" pid="5" name="MSIP_Label_00183ae1-726f-4969-b787-1995b26b5e2f_SetDate">
    <vt:lpwstr>2021-02-11T20:00:51.6338100Z</vt:lpwstr>
  </property>
  <property fmtid="{D5CDD505-2E9C-101B-9397-08002B2CF9AE}" pid="6" name="MSIP_Label_00183ae1-726f-4969-b787-1995b26b5e2f_Name">
    <vt:lpwstr>Internal</vt:lpwstr>
  </property>
  <property fmtid="{D5CDD505-2E9C-101B-9397-08002B2CF9AE}" pid="7" name="MSIP_Label_00183ae1-726f-4969-b787-1995b26b5e2f_Application">
    <vt:lpwstr>Microsoft Azure Information Protection</vt:lpwstr>
  </property>
  <property fmtid="{D5CDD505-2E9C-101B-9397-08002B2CF9AE}" pid="8" name="MSIP_Label_00183ae1-726f-4969-b787-1995b26b5e2f_ActionId">
    <vt:lpwstr>1bb198b0-d814-417c-92f0-fc73593be6a4</vt:lpwstr>
  </property>
  <property fmtid="{D5CDD505-2E9C-101B-9397-08002B2CF9AE}" pid="9" name="MSIP_Label_00183ae1-726f-4969-b787-1995b26b5e2f_Extended_MSFT_Method">
    <vt:lpwstr>Automatic</vt:lpwstr>
  </property>
  <property fmtid="{D5CDD505-2E9C-101B-9397-08002B2CF9AE}" pid="10" name="MSIP_Label_797ad33d-ed35-43c0-b526-22bc83c17deb_Enabled">
    <vt:lpwstr>True</vt:lpwstr>
  </property>
  <property fmtid="{D5CDD505-2E9C-101B-9397-08002B2CF9AE}" pid="11" name="MSIP_Label_797ad33d-ed35-43c0-b526-22bc83c17deb_SiteId">
    <vt:lpwstr>d539d4bf-5610-471a-afc2-1c76685cfefa</vt:lpwstr>
  </property>
  <property fmtid="{D5CDD505-2E9C-101B-9397-08002B2CF9AE}" pid="12" name="MSIP_Label_797ad33d-ed35-43c0-b526-22bc83c17deb_Owner">
    <vt:lpwstr>diego.munoz@enel.com</vt:lpwstr>
  </property>
  <property fmtid="{D5CDD505-2E9C-101B-9397-08002B2CF9AE}" pid="13" name="MSIP_Label_797ad33d-ed35-43c0-b526-22bc83c17deb_SetDate">
    <vt:lpwstr>2021-02-11T20:00:51.6338100Z</vt:lpwstr>
  </property>
  <property fmtid="{D5CDD505-2E9C-101B-9397-08002B2CF9AE}" pid="14" name="MSIP_Label_797ad33d-ed35-43c0-b526-22bc83c17deb_Name">
    <vt:lpwstr>Not Encrypted</vt:lpwstr>
  </property>
  <property fmtid="{D5CDD505-2E9C-101B-9397-08002B2CF9AE}" pid="15" name="MSIP_Label_797ad33d-ed35-43c0-b526-22bc83c17deb_Application">
    <vt:lpwstr>Microsoft Azure Information Protection</vt:lpwstr>
  </property>
  <property fmtid="{D5CDD505-2E9C-101B-9397-08002B2CF9AE}" pid="16" name="MSIP_Label_797ad33d-ed35-43c0-b526-22bc83c17deb_ActionId">
    <vt:lpwstr>1bb198b0-d814-417c-92f0-fc73593be6a4</vt:lpwstr>
  </property>
  <property fmtid="{D5CDD505-2E9C-101B-9397-08002B2CF9AE}" pid="17" name="MSIP_Label_797ad33d-ed35-43c0-b526-22bc83c17deb_Parent">
    <vt:lpwstr>00183ae1-726f-4969-b787-1995b26b5e2f</vt:lpwstr>
  </property>
  <property fmtid="{D5CDD505-2E9C-101B-9397-08002B2CF9AE}" pid="18" name="MSIP_Label_797ad33d-ed35-43c0-b526-22bc83c17deb_Extended_MSFT_Method">
    <vt:lpwstr>Automatic</vt:lpwstr>
  </property>
  <property fmtid="{D5CDD505-2E9C-101B-9397-08002B2CF9AE}" pid="19" name="Sensitivity">
    <vt:lpwstr>Internal Not Encrypted</vt:lpwstr>
  </property>
  <property fmtid="{D5CDD505-2E9C-101B-9397-08002B2CF9AE}" pid="20" name="ContentTypeId">
    <vt:lpwstr>0x0101000CF742758FFD4145AB2260EEBE3B6123</vt:lpwstr>
  </property>
</Properties>
</file>