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2B2A1058-BC6C-447D-B85F-A250D2540AF7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D18" i="1"/>
  <c r="D10" i="1"/>
  <c r="G25" i="1"/>
  <c r="G24" i="1"/>
  <c r="G23" i="1"/>
  <c r="G22" i="1"/>
  <c r="G21" i="1"/>
  <c r="G20" i="1"/>
  <c r="G19" i="1"/>
  <c r="F14" i="2"/>
  <c r="F15" i="2"/>
  <c r="F16" i="2"/>
  <c r="F17" i="2"/>
  <c r="H17" i="2" s="1"/>
  <c r="K17" i="2" s="1"/>
  <c r="F18" i="2"/>
  <c r="H18" i="2" s="1"/>
  <c r="K18" i="2" s="1"/>
  <c r="F19" i="2"/>
  <c r="H19" i="2" s="1"/>
  <c r="K19" i="2" s="1"/>
  <c r="F13" i="2"/>
  <c r="G17" i="2"/>
  <c r="I17" i="2" s="1"/>
  <c r="J17" i="2" s="1"/>
  <c r="D23" i="1" s="1"/>
  <c r="G18" i="2"/>
  <c r="I18" i="2" s="1"/>
  <c r="J18" i="2" s="1"/>
  <c r="D17" i="1" s="1"/>
  <c r="J17" i="1" s="1"/>
  <c r="G19" i="2"/>
  <c r="I19" i="2" s="1"/>
  <c r="J19" i="2" s="1"/>
  <c r="D11" i="1" s="1"/>
  <c r="J11" i="1" s="1"/>
  <c r="R8" i="3"/>
  <c r="R7" i="3"/>
  <c r="R6" i="3"/>
  <c r="J8" i="3"/>
  <c r="J7" i="3"/>
  <c r="J6" i="3"/>
  <c r="E17" i="1" l="1"/>
  <c r="I17" i="1" s="1"/>
  <c r="E24" i="1"/>
  <c r="E10" i="1"/>
  <c r="D16" i="1"/>
  <c r="D24" i="1"/>
  <c r="E9" i="1"/>
  <c r="I9" i="1" s="1"/>
  <c r="E16" i="1"/>
  <c r="I16" i="1" s="1"/>
  <c r="E23" i="1"/>
  <c r="I23" i="1" s="1"/>
  <c r="D9" i="1"/>
  <c r="D25" i="1"/>
  <c r="J25" i="1" s="1"/>
  <c r="I24" i="1"/>
  <c r="E25" i="1"/>
  <c r="I25" i="1" s="1"/>
  <c r="E11" i="1"/>
  <c r="I11" i="1" s="1"/>
  <c r="E18" i="1"/>
  <c r="I10" i="1"/>
  <c r="I18" i="1"/>
  <c r="J16" i="1"/>
  <c r="J18" i="1"/>
  <c r="J9" i="1"/>
  <c r="J24" i="1"/>
  <c r="J10" i="1"/>
  <c r="J23" i="1"/>
  <c r="K26" i="1" l="1"/>
  <c r="O7" i="1" s="1"/>
  <c r="H13" i="2" l="1"/>
  <c r="K13" i="2" s="1"/>
  <c r="E5" i="1" l="1"/>
  <c r="I5" i="1" s="1"/>
  <c r="E12" i="1"/>
  <c r="I12" i="1" s="1"/>
  <c r="E19" i="1"/>
  <c r="I19" i="1" s="1"/>
  <c r="G16" i="2"/>
  <c r="I16" i="2" s="1"/>
  <c r="J16" i="2" s="1"/>
  <c r="H16" i="2"/>
  <c r="K16" i="2" s="1"/>
  <c r="D15" i="1" l="1"/>
  <c r="D22" i="1"/>
  <c r="D8" i="1"/>
  <c r="E8" i="1"/>
  <c r="I8" i="1" s="1"/>
  <c r="E15" i="1"/>
  <c r="I15" i="1" s="1"/>
  <c r="E22" i="1"/>
  <c r="I22" i="1" s="1"/>
  <c r="J22" i="1"/>
  <c r="J8" i="1"/>
  <c r="J15" i="1"/>
  <c r="H14" i="2"/>
  <c r="K14" i="2" s="1"/>
  <c r="H15" i="2"/>
  <c r="K15" i="2" s="1"/>
  <c r="E21" i="1" l="1"/>
  <c r="I21" i="1" s="1"/>
  <c r="E7" i="1"/>
  <c r="I7" i="1" s="1"/>
  <c r="E14" i="1"/>
  <c r="I14" i="1" s="1"/>
  <c r="E13" i="1"/>
  <c r="I13" i="1" s="1"/>
  <c r="E20" i="1"/>
  <c r="I20" i="1" s="1"/>
  <c r="E6" i="1"/>
  <c r="I6" i="1" s="1"/>
  <c r="G14" i="2"/>
  <c r="I14" i="2" s="1"/>
  <c r="J14" i="2" s="1"/>
  <c r="G15" i="2"/>
  <c r="I15" i="2" s="1"/>
  <c r="J15" i="2" s="1"/>
  <c r="G13" i="2"/>
  <c r="D7" i="1" l="1"/>
  <c r="D14" i="1"/>
  <c r="D21" i="1"/>
  <c r="D13" i="1"/>
  <c r="J13" i="1" s="1"/>
  <c r="D20" i="1"/>
  <c r="D6" i="1"/>
  <c r="J14" i="1"/>
  <c r="J21" i="1"/>
  <c r="J7" i="1"/>
  <c r="J20" i="1"/>
  <c r="J6" i="1"/>
  <c r="I13" i="2"/>
  <c r="J13" i="2" s="1"/>
  <c r="D19" i="1" l="1"/>
  <c r="D5" i="1"/>
  <c r="J5" i="1" s="1"/>
  <c r="D12" i="1"/>
  <c r="J12" i="1"/>
  <c r="J19" i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<sst xmlns="http://schemas.openxmlformats.org/spreadsheetml/2006/main" count="170" uniqueCount="74">
  <si>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</si>
  <si>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</si>
  <si>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</si>
  <si>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</si>
  <si>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</si>
  <si>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</si>
  <si>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</si>
  <si>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</si>
  <si>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</si>
  <si>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</si>
  <si>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</si>
  <si>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</si>
  <si>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</si>
  <si>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</si>
  <si>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</si>
  <si>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</si>
  <si>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</si>
  <si>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</si>
  <si>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</si>
  <si>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</si>
  <si>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</si>
  <si>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</si>
  <si>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</si>
  <si>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</si>
  <si>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</si>
  <si>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</si>
  <si>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</si>
  <si>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</si>
  <si>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</si>
  <si>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</si>
  <si>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</si>
  <si>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</si>
  <si>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</si>
  <si>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</si>
  <si>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</si>
  <si>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</si>
  <si>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</si>
  <si>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</si>
  <si>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</si>
  <si>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</si>
  <si>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</si>
  <si>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</si>
  <si>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</si>
  <si>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</si>
  <si>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</si>
  <si>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</si>
  <si>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</si>
  <si>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</si>
  <si>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</si>
  <si>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</si>
  <si>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</si>
  <si>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</si>
  <si>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</si>
  <si>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</si>
  <si>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</si>
  <si>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</si>
  <si>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</si>
  <si>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</si>
  <si>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Enero 2020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</si>
  <si>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</si>
  <si>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</si>
  <si>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</si>
  <si>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</si>
  <si>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</si>
  <si>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</si>
  <si>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</si>
  <si>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</si>
  <si>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Energía Kwh</t>
  </si>
  <si>
    <t>Potencia kW-mes</t>
  </si>
  <si>
    <t>ENEL Dx</t>
  </si>
  <si>
    <t>Marzo</t>
  </si>
  <si>
    <t xml:space="preserve">PNP 16T-20 </t>
  </si>
  <si>
    <t>10T/2020</t>
  </si>
  <si>
    <t>Facturación con Factor de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</si>
</sst>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#,##0.0000"/>
    <numFmt numFmtId="167" formatCode="#,##0.000"/>
    <numFmt numFmtId="168" formatCode="0.000000"/>
  </numFmts>
  <fonts count="13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2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41"/>
  <sheetViews>
    <sheetView tabSelected="1" zoomScale="90" zoomScaleNormal="90" workbookViewId="0">
      <selection activeCell="L26" sqref="L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6"/>
      <c r="B2" s="56"/>
      <c r="C2" s="69"/>
      <c r="D2" s="70"/>
      <c r="E2" s="56"/>
      <c r="F2" s="53"/>
      <c r="G2" s="53"/>
      <c r="H2" s="54"/>
      <c r="I2" s="108" t="s">
        <v>17</v>
      </c>
      <c r="J2" s="109"/>
      <c r="K2" s="109"/>
      <c r="L2" s="110"/>
    </row>
    <row r="3" spans="1:15" x14ac:dyDescent="0.25">
      <c r="A3" s="111" t="s">
        <v>15</v>
      </c>
      <c r="B3" s="114" t="s">
        <v>0</v>
      </c>
      <c r="C3" s="116" t="s">
        <v>1</v>
      </c>
      <c r="D3" s="60" t="s">
        <v>2</v>
      </c>
      <c r="E3" s="58" t="s">
        <v>3</v>
      </c>
      <c r="F3" s="32" t="s">
        <v>40</v>
      </c>
      <c r="G3" s="1" t="s">
        <v>4</v>
      </c>
      <c r="H3" s="2" t="s">
        <v>5</v>
      </c>
      <c r="I3" s="52" t="s">
        <v>38</v>
      </c>
      <c r="J3" s="51" t="s">
        <v>4</v>
      </c>
      <c r="K3" s="51" t="s">
        <v>37</v>
      </c>
      <c r="L3" s="40" t="s">
        <v>40</v>
      </c>
      <c r="N3" s="113" t="s">
        <v>73</v>
      </c>
      <c r="O3" s="113"/>
    </row>
    <row r="4" spans="1:15" ht="14.4" x14ac:dyDescent="0.3">
      <c r="A4" s="112"/>
      <c r="B4" s="115"/>
      <c r="C4" s="117"/>
      <c r="D4" s="61" t="s">
        <v>6</v>
      </c>
      <c r="E4" s="59" t="s">
        <v>7</v>
      </c>
      <c r="F4" s="33" t="s">
        <v>47</v>
      </c>
      <c r="G4" s="3" t="s">
        <v>51</v>
      </c>
      <c r="H4" s="4" t="s">
        <v>8</v>
      </c>
      <c r="I4" s="64" t="s">
        <v>14</v>
      </c>
      <c r="J4" s="62" t="s">
        <v>14</v>
      </c>
      <c r="K4" s="62" t="s">
        <v>14</v>
      </c>
      <c r="L4" s="63" t="s">
        <v>14</v>
      </c>
      <c r="N4" s="10" t="s">
        <v>59</v>
      </c>
      <c r="O4" s="10" t="s">
        <v>60</v>
      </c>
    </row>
    <row r="5" spans="1:15" x14ac:dyDescent="0.25">
      <c r="A5" t="s">
        <v>60</v>
      </c>
      <c r="B5" s="5" t="s">
        <v>9</v>
      </c>
      <c r="C5" s="6" t="s">
        <v>16</v>
      </c>
      <c r="D5" s="17">
        <f>ROUND(VLOOKUP($C5,Px!$B$13:$K$19,9,0),4)</f>
        <v>5699.5051000000003</v>
      </c>
      <c r="E5" s="105">
        <f>VLOOKUP(C5,Px!$B$13:$K$19,10,0)</f>
        <v>55.536000000000001</v>
      </c>
      <c r="F5" s="41"/>
      <c r="G5" s="7"/>
      <c r="H5" s="82">
        <f>ROUND('ENEL DX'!$C$6,0)</f>
        <v>708907</v>
      </c>
      <c r="I5" s="80">
        <f>ROUND(H5*E5,0)</f>
        <v>39369859</v>
      </c>
      <c r="J5" s="81">
        <f>G5*D5</f>
        <v>0</v>
      </c>
      <c r="K5" s="84">
        <v>333</v>
      </c>
      <c r="L5" s="82"/>
      <c r="N5" s="11" t="str">
        <f>"Active Energy: "&amp;TEXT(H26," #,###,###")&amp;" kWh"</f>
        <v>Active Energy:  11,487,836 kWh</v>
      </c>
      <c r="O5" s="12">
        <f>I26</f>
        <v>648795707</v>
      </c>
    </row>
    <row r="6" spans="1:15" x14ac:dyDescent="0.25">
      <c r="A6" t="s">
        <v>60</v>
      </c>
      <c r="B6" t="s">
        <v>9</v>
      </c>
      <c r="C6" s="8" t="s">
        <v>61</v>
      </c>
      <c r="D6" s="16">
        <f>ROUND(VLOOKUP($C6,Px!$B$13:$K$19,9,0),4)</f>
        <v>5744.3697000000002</v>
      </c>
      <c r="E6" s="106">
        <f>VLOOKUP(C6,Px!$B$13:$K$19,10,0)</f>
        <v>57.106999999999999</v>
      </c>
      <c r="F6" s="42"/>
      <c r="G6" s="9"/>
      <c r="H6" s="85">
        <f>ROUND('ENEL DX'!$D$6,0)</f>
        <v>666066</v>
      </c>
      <c r="I6" s="83">
        <f t="shared" ref="I6:I25" si="0">ROUND(H6*E6,0)</f>
        <v>38037031</v>
      </c>
      <c r="J6" s="84">
        <f t="shared" ref="J6:J25" si="1">G6*D6</f>
        <v>0</v>
      </c>
      <c r="K6" s="84"/>
      <c r="L6" s="85"/>
      <c r="N6" s="11" t="str">
        <f>"Capacity: "&amp;TEXT(G26,"#,###")&amp;" kW"</f>
        <v>Capacity: 7,042 kW</v>
      </c>
      <c r="O6" s="12">
        <f>J26</f>
        <v>40337989.093999989</v>
      </c>
    </row>
    <row r="7" spans="1:15" x14ac:dyDescent="0.25">
      <c r="A7" t="s">
        <v>60</v>
      </c>
      <c r="B7" t="s">
        <v>9</v>
      </c>
      <c r="C7" s="8" t="s">
        <v>62</v>
      </c>
      <c r="D7" s="16">
        <f>ROUND(VLOOKUP($C7,Px!$B$13:$K$19,9,0),4)</f>
        <v>5752.8882999999996</v>
      </c>
      <c r="E7" s="106">
        <f>VLOOKUP(C7,Px!$B$13:$K$19,10,0)</f>
        <v>56.487000000000002</v>
      </c>
      <c r="F7" s="42"/>
      <c r="G7" s="9"/>
      <c r="H7" s="85">
        <f>ROUND('ENEL DX'!$E$6,0)</f>
        <v>1418645</v>
      </c>
      <c r="I7" s="83">
        <f t="shared" si="0"/>
        <v>80135000</v>
      </c>
      <c r="J7" s="84">
        <f t="shared" si="1"/>
        <v>0</v>
      </c>
      <c r="K7" s="84"/>
      <c r="L7" s="85"/>
      <c r="N7" s="11" t="s">
        <v>13</v>
      </c>
      <c r="O7" s="12">
        <f>K26</f>
        <v>1009</v>
      </c>
    </row>
    <row r="8" spans="1:15" x14ac:dyDescent="0.25">
      <c r="A8" t="s">
        <v>60</v>
      </c>
      <c r="B8" t="s">
        <v>9</v>
      </c>
      <c r="C8" s="8" t="s">
        <v>63</v>
      </c>
      <c r="D8" s="16">
        <f>ROUND(VLOOKUP($C8,Px!$B$13:$K$19,9,0),4)</f>
        <v>5751.1845000000003</v>
      </c>
      <c r="E8" s="106">
        <f>VLOOKUP(C8,Px!$B$13:$K$19,10,0)</f>
        <v>57.345999999999997</v>
      </c>
      <c r="F8" s="42"/>
      <c r="G8" s="9"/>
      <c r="H8" s="85">
        <f>ROUND('ENEL DX'!$F$6,0)</f>
        <v>1770</v>
      </c>
      <c r="I8" s="83">
        <f t="shared" si="0"/>
        <v>101502</v>
      </c>
      <c r="J8" s="84">
        <f t="shared" si="1"/>
        <v>0</v>
      </c>
      <c r="K8" s="84"/>
      <c r="L8" s="85"/>
      <c r="N8" s="11" t="s">
        <v>40</v>
      </c>
      <c r="O8" s="12">
        <f>L26</f>
        <v>0</v>
      </c>
    </row>
    <row r="9" spans="1:15" x14ac:dyDescent="0.25">
      <c r="A9" t="s">
        <v>60</v>
      </c>
      <c r="B9" t="s">
        <v>9</v>
      </c>
      <c r="C9" s="8" t="s">
        <v>64</v>
      </c>
      <c r="D9" s="16">
        <f>ROUND(VLOOKUP($C9,Px!$B$13:$K$19,9,0),4)</f>
        <v>5541.0592999999999</v>
      </c>
      <c r="E9" s="106">
        <f>VLOOKUP(C9,Px!$B$13:$K$19,10,0)</f>
        <v>54.945</v>
      </c>
      <c r="F9" s="42"/>
      <c r="G9" s="9"/>
      <c r="H9" s="85">
        <f>ROUND('ENEL DX'!$G$6,0)</f>
        <v>756</v>
      </c>
      <c r="I9" s="83">
        <f t="shared" si="0"/>
        <v>41538</v>
      </c>
      <c r="J9" s="84">
        <f t="shared" si="1"/>
        <v>0</v>
      </c>
      <c r="K9" s="84"/>
      <c r="L9" s="85"/>
      <c r="N9" s="13" t="s">
        <v>12</v>
      </c>
      <c r="O9" s="14">
        <f>SUM(O5:O8)</f>
        <v>689134705.09399998</v>
      </c>
    </row>
    <row r="10" spans="1:15" x14ac:dyDescent="0.25">
      <c r="A10" t="s">
        <v>60</v>
      </c>
      <c r="B10" t="s">
        <v>9</v>
      </c>
      <c r="C10" s="8" t="s">
        <v>65</v>
      </c>
      <c r="D10" s="16">
        <f>ROUND(VLOOKUP($C10,Px!$B$13:$K$19,9,0),4)</f>
        <v>5679.0604999999996</v>
      </c>
      <c r="E10" s="106">
        <f>VLOOKUP(C10,Px!$B$13:$K$19,10,0)</f>
        <v>56.902000000000001</v>
      </c>
      <c r="F10" s="42"/>
      <c r="G10" s="9"/>
      <c r="H10" s="85">
        <f>ROUND('ENEL DX'!$H$6,0)</f>
        <v>533680</v>
      </c>
      <c r="I10" s="83">
        <f t="shared" si="0"/>
        <v>30367459</v>
      </c>
      <c r="J10" s="84">
        <f t="shared" si="1"/>
        <v>0</v>
      </c>
      <c r="K10" s="84"/>
      <c r="L10" s="85"/>
    </row>
    <row r="11" spans="1:15" x14ac:dyDescent="0.25">
      <c r="A11" t="s">
        <v>60</v>
      </c>
      <c r="B11" t="s">
        <v>9</v>
      </c>
      <c r="C11" s="8" t="s">
        <v>66</v>
      </c>
      <c r="D11" s="16">
        <f>ROUND(VLOOKUP($C11,Px!$B$13:$K$19,9,0),4)</f>
        <v>5761.4069</v>
      </c>
      <c r="E11" s="106">
        <f>VLOOKUP(C11,Px!$B$13:$K$19,10,0)</f>
        <v>57.454000000000001</v>
      </c>
      <c r="F11" s="42"/>
      <c r="G11" s="9"/>
      <c r="H11" s="85">
        <f>ROUND('ENEL DX'!$I$6,0)</f>
        <v>7853</v>
      </c>
      <c r="I11" s="83">
        <f t="shared" si="0"/>
        <v>451186</v>
      </c>
      <c r="J11" s="84">
        <f t="shared" si="1"/>
        <v>0</v>
      </c>
      <c r="K11" s="84"/>
      <c r="L11" s="85"/>
    </row>
    <row r="12" spans="1:15" x14ac:dyDescent="0.25">
      <c r="A12" t="s">
        <v>60</v>
      </c>
      <c r="B12" t="s">
        <v>10</v>
      </c>
      <c r="C12" s="8" t="s">
        <v>16</v>
      </c>
      <c r="D12" s="16">
        <f>ROUND(VLOOKUP($C12,Px!$B$13:$K$19,9,0),4)</f>
        <v>5699.5051000000003</v>
      </c>
      <c r="E12" s="106">
        <f>VLOOKUP(C12,Px!$B$13:$K$19,10,0)</f>
        <v>55.536000000000001</v>
      </c>
      <c r="F12" s="42"/>
      <c r="G12" s="9"/>
      <c r="H12" s="85">
        <f>ROUND('ENEL DX'!$C$7,0)</f>
        <v>1152175</v>
      </c>
      <c r="I12" s="83">
        <f t="shared" si="0"/>
        <v>63987191</v>
      </c>
      <c r="J12" s="84">
        <f t="shared" si="1"/>
        <v>0</v>
      </c>
      <c r="K12" s="84">
        <v>450</v>
      </c>
      <c r="L12" s="85"/>
      <c r="O12" s="87"/>
    </row>
    <row r="13" spans="1:15" x14ac:dyDescent="0.25">
      <c r="A13" t="s">
        <v>60</v>
      </c>
      <c r="B13" t="s">
        <v>10</v>
      </c>
      <c r="C13" s="8" t="s">
        <v>61</v>
      </c>
      <c r="D13" s="16">
        <f>ROUND(VLOOKUP($C13,Px!$B$13:$K$19,9,0),4)</f>
        <v>5744.3697000000002</v>
      </c>
      <c r="E13" s="106">
        <f>VLOOKUP(C13,Px!$B$13:$K$19,10,0)</f>
        <v>57.106999999999999</v>
      </c>
      <c r="F13" s="42"/>
      <c r="G13" s="9"/>
      <c r="H13" s="85">
        <f>ROUND('ENEL DX'!$D$7,0)</f>
        <v>1073993</v>
      </c>
      <c r="I13" s="83">
        <f t="shared" si="0"/>
        <v>61332518</v>
      </c>
      <c r="J13" s="84">
        <f t="shared" si="1"/>
        <v>0</v>
      </c>
      <c r="K13" s="84"/>
      <c r="L13" s="85"/>
    </row>
    <row r="14" spans="1:15" x14ac:dyDescent="0.25">
      <c r="A14" t="s">
        <v>60</v>
      </c>
      <c r="B14" t="s">
        <v>10</v>
      </c>
      <c r="C14" s="8" t="s">
        <v>62</v>
      </c>
      <c r="D14" s="16">
        <f>ROUND(VLOOKUP($C14,Px!$B$13:$K$19,9,0),4)</f>
        <v>5752.8882999999996</v>
      </c>
      <c r="E14" s="106">
        <f>VLOOKUP(C14,Px!$B$13:$K$19,10,0)</f>
        <v>56.487000000000002</v>
      </c>
      <c r="F14" s="42"/>
      <c r="G14" s="9"/>
      <c r="H14" s="85">
        <f>ROUND('ENEL DX'!$E$7,0)</f>
        <v>2261182</v>
      </c>
      <c r="I14" s="83">
        <f t="shared" si="0"/>
        <v>127727388</v>
      </c>
      <c r="J14" s="84">
        <f t="shared" si="1"/>
        <v>0</v>
      </c>
      <c r="K14" s="84"/>
      <c r="L14" s="85"/>
    </row>
    <row r="15" spans="1:15" x14ac:dyDescent="0.25">
      <c r="A15" t="s">
        <v>60</v>
      </c>
      <c r="B15" t="s">
        <v>10</v>
      </c>
      <c r="C15" s="8" t="s">
        <v>63</v>
      </c>
      <c r="D15" s="16">
        <f>ROUND(VLOOKUP($C15,Px!$B$13:$K$19,9,0),4)</f>
        <v>5751.1845000000003</v>
      </c>
      <c r="E15" s="106">
        <f>VLOOKUP(C15,Px!$B$13:$K$19,10,0)</f>
        <v>57.345999999999997</v>
      </c>
      <c r="F15" s="42"/>
      <c r="G15" s="9"/>
      <c r="H15" s="85">
        <f>ROUND('ENEL DX'!$F$7,0)</f>
        <v>2373</v>
      </c>
      <c r="I15" s="83">
        <f t="shared" si="0"/>
        <v>136082</v>
      </c>
      <c r="J15" s="84">
        <f t="shared" si="1"/>
        <v>0</v>
      </c>
      <c r="K15" s="84"/>
      <c r="L15" s="85"/>
    </row>
    <row r="16" spans="1:15" x14ac:dyDescent="0.25">
      <c r="A16" t="s">
        <v>60</v>
      </c>
      <c r="B16" t="s">
        <v>10</v>
      </c>
      <c r="C16" s="8" t="s">
        <v>64</v>
      </c>
      <c r="D16" s="16">
        <f>ROUND(VLOOKUP($C16,Px!$B$13:$K$19,9,0),4)</f>
        <v>5541.0592999999999</v>
      </c>
      <c r="E16" s="106">
        <f>VLOOKUP(C16,Px!$B$13:$K$19,10,0)</f>
        <v>54.945</v>
      </c>
      <c r="F16" s="42"/>
      <c r="G16" s="9"/>
      <c r="H16" s="85">
        <f>ROUND('ENEL DX'!$G$7,0)</f>
        <v>1029</v>
      </c>
      <c r="I16" s="83">
        <f t="shared" si="0"/>
        <v>56538</v>
      </c>
      <c r="J16" s="84">
        <f t="shared" si="1"/>
        <v>0</v>
      </c>
      <c r="K16" s="84"/>
      <c r="L16" s="85"/>
    </row>
    <row r="17" spans="1:13" x14ac:dyDescent="0.25">
      <c r="A17" t="s">
        <v>60</v>
      </c>
      <c r="B17" t="s">
        <v>10</v>
      </c>
      <c r="C17" s="8" t="s">
        <v>65</v>
      </c>
      <c r="D17" s="16">
        <f>ROUND(VLOOKUP($C17,Px!$B$13:$K$19,9,0),4)</f>
        <v>5679.0604999999996</v>
      </c>
      <c r="E17" s="106">
        <f>VLOOKUP(C17,Px!$B$13:$K$19,10,0)</f>
        <v>56.902000000000001</v>
      </c>
      <c r="F17" s="42"/>
      <c r="G17" s="9"/>
      <c r="H17" s="85">
        <f>ROUND('ENEL DX'!$H$7,0)</f>
        <v>878100</v>
      </c>
      <c r="I17" s="83">
        <f t="shared" si="0"/>
        <v>49965646</v>
      </c>
      <c r="J17" s="84">
        <f t="shared" si="1"/>
        <v>0</v>
      </c>
      <c r="K17" s="84"/>
      <c r="L17" s="85"/>
    </row>
    <row r="18" spans="1:13" x14ac:dyDescent="0.25">
      <c r="A18" t="s">
        <v>60</v>
      </c>
      <c r="B18" t="s">
        <v>10</v>
      </c>
      <c r="C18" s="8" t="s">
        <v>66</v>
      </c>
      <c r="D18" s="16">
        <f>ROUND(VLOOKUP($C18,Px!$B$13:$K$19,9,0),4)</f>
        <v>5761.4069</v>
      </c>
      <c r="E18" s="106">
        <f>VLOOKUP(C18,Px!$B$13:$K$19,10,0)</f>
        <v>57.454000000000001</v>
      </c>
      <c r="F18" s="42"/>
      <c r="G18" s="9"/>
      <c r="H18" s="85">
        <f>ROUND('ENEL DX'!$I$7,0)</f>
        <v>12558</v>
      </c>
      <c r="I18" s="83">
        <f t="shared" si="0"/>
        <v>721507</v>
      </c>
      <c r="J18" s="84">
        <f t="shared" si="1"/>
        <v>0</v>
      </c>
      <c r="K18" s="84"/>
      <c r="L18" s="85"/>
    </row>
    <row r="19" spans="1:13" x14ac:dyDescent="0.25">
      <c r="A19" t="s">
        <v>60</v>
      </c>
      <c r="B19" t="s">
        <v>11</v>
      </c>
      <c r="C19" s="8" t="s">
        <v>16</v>
      </c>
      <c r="D19" s="16">
        <f>ROUND(VLOOKUP($C19,Px!$B$13:$K$19,9,0),4)</f>
        <v>5699.5051000000003</v>
      </c>
      <c r="E19" s="106">
        <f>VLOOKUP(C19,Px!$B$13:$K$19,10,0)</f>
        <v>55.536000000000001</v>
      </c>
      <c r="F19" s="42"/>
      <c r="G19" s="103">
        <f>'ENEL DX'!K8</f>
        <v>1502</v>
      </c>
      <c r="H19" s="85">
        <f>ROUND('ENEL DX'!$C$8,0)</f>
        <v>590378</v>
      </c>
      <c r="I19" s="83">
        <f t="shared" si="0"/>
        <v>32787233</v>
      </c>
      <c r="J19" s="84">
        <f t="shared" si="1"/>
        <v>8560656.6601999998</v>
      </c>
      <c r="K19" s="84">
        <v>226</v>
      </c>
      <c r="L19" s="85"/>
    </row>
    <row r="20" spans="1:13" x14ac:dyDescent="0.25">
      <c r="A20" t="s">
        <v>60</v>
      </c>
      <c r="B20" t="s">
        <v>11</v>
      </c>
      <c r="C20" s="8" t="s">
        <v>61</v>
      </c>
      <c r="D20" s="16">
        <f>ROUND(VLOOKUP($C20,Px!$B$13:$K$19,9,0),4)</f>
        <v>5744.3697000000002</v>
      </c>
      <c r="E20" s="106">
        <f>VLOOKUP(C20,Px!$B$13:$K$19,10,0)</f>
        <v>57.106999999999999</v>
      </c>
      <c r="F20" s="42"/>
      <c r="G20" s="103">
        <f>'ENEL DX'!L8</f>
        <v>1401</v>
      </c>
      <c r="H20" s="85">
        <f>ROUND('ENEL DX'!$D$8,0)</f>
        <v>550809</v>
      </c>
      <c r="I20" s="83">
        <f t="shared" si="0"/>
        <v>31455050</v>
      </c>
      <c r="J20" s="84">
        <f t="shared" si="1"/>
        <v>8047861.9497000007</v>
      </c>
      <c r="K20" s="84"/>
      <c r="L20" s="85"/>
    </row>
    <row r="21" spans="1:13" x14ac:dyDescent="0.25">
      <c r="A21" t="s">
        <v>60</v>
      </c>
      <c r="B21" t="s">
        <v>11</v>
      </c>
      <c r="C21" s="8" t="s">
        <v>62</v>
      </c>
      <c r="D21" s="16">
        <f>ROUND(VLOOKUP($C21,Px!$B$13:$K$19,9,0),4)</f>
        <v>5752.8882999999996</v>
      </c>
      <c r="E21" s="106">
        <f>VLOOKUP(C21,Px!$B$13:$K$19,10,0)</f>
        <v>56.487000000000002</v>
      </c>
      <c r="F21" s="42"/>
      <c r="G21" s="103">
        <f>'ENEL DX'!M8</f>
        <v>3013</v>
      </c>
      <c r="H21" s="85">
        <f>ROUND('ENEL DX'!$E$8,0)</f>
        <v>1184593</v>
      </c>
      <c r="I21" s="83">
        <f t="shared" si="0"/>
        <v>66914105</v>
      </c>
      <c r="J21" s="84">
        <f t="shared" si="1"/>
        <v>17333452.447899997</v>
      </c>
      <c r="K21" s="84"/>
      <c r="L21" s="85"/>
    </row>
    <row r="22" spans="1:13" x14ac:dyDescent="0.25">
      <c r="A22" t="s">
        <v>60</v>
      </c>
      <c r="B22" t="s">
        <v>11</v>
      </c>
      <c r="C22" s="8" t="s">
        <v>63</v>
      </c>
      <c r="D22" s="16">
        <f>ROUND(VLOOKUP($C22,Px!$B$13:$K$19,9,0),4)</f>
        <v>5751.1845000000003</v>
      </c>
      <c r="E22" s="106">
        <f>VLOOKUP(C22,Px!$B$13:$K$19,10,0)</f>
        <v>57.345999999999997</v>
      </c>
      <c r="F22" s="42"/>
      <c r="G22" s="103">
        <f>'ENEL DX'!N8</f>
        <v>3</v>
      </c>
      <c r="H22" s="85">
        <f>ROUND('ENEL DX'!$F$8,0)</f>
        <v>1188</v>
      </c>
      <c r="I22" s="83">
        <f t="shared" si="0"/>
        <v>68127</v>
      </c>
      <c r="J22" s="84">
        <f t="shared" si="1"/>
        <v>17253.553500000002</v>
      </c>
      <c r="K22" s="96"/>
      <c r="L22" s="85"/>
    </row>
    <row r="23" spans="1:13" x14ac:dyDescent="0.25">
      <c r="A23" t="s">
        <v>60</v>
      </c>
      <c r="B23" t="s">
        <v>11</v>
      </c>
      <c r="C23" s="8" t="s">
        <v>64</v>
      </c>
      <c r="D23" s="16">
        <f>ROUND(VLOOKUP($C23,Px!$B$13:$K$19,9,0),4)</f>
        <v>5541.0592999999999</v>
      </c>
      <c r="E23" s="106">
        <f>VLOOKUP(C23,Px!$B$13:$K$19,10,0)</f>
        <v>54.945</v>
      </c>
      <c r="F23" s="42"/>
      <c r="G23" s="103">
        <f>'ENEL DX'!O8</f>
        <v>1</v>
      </c>
      <c r="H23" s="85">
        <f>ROUND('ENEL DX'!$G$8,0)</f>
        <v>519</v>
      </c>
      <c r="I23" s="83">
        <f t="shared" si="0"/>
        <v>28516</v>
      </c>
      <c r="J23" s="84">
        <f t="shared" si="1"/>
        <v>5541.0592999999999</v>
      </c>
      <c r="K23" s="84"/>
      <c r="L23" s="85"/>
    </row>
    <row r="24" spans="1:13" x14ac:dyDescent="0.25">
      <c r="A24" t="s">
        <v>60</v>
      </c>
      <c r="B24" t="s">
        <v>11</v>
      </c>
      <c r="C24" s="8" t="s">
        <v>65</v>
      </c>
      <c r="D24" s="16">
        <f>ROUND(VLOOKUP($C24,Px!$B$13:$K$19,9,0),4)</f>
        <v>5679.0604999999996</v>
      </c>
      <c r="E24" s="106">
        <f>VLOOKUP(C24,Px!$B$13:$K$19,10,0)</f>
        <v>56.902000000000001</v>
      </c>
      <c r="F24" s="42"/>
      <c r="G24" s="103">
        <f>'ENEL DX'!P8</f>
        <v>1106</v>
      </c>
      <c r="H24" s="85">
        <f>ROUND('ENEL DX'!$H$8,0)</f>
        <v>434849</v>
      </c>
      <c r="I24" s="83">
        <f t="shared" si="0"/>
        <v>24743778</v>
      </c>
      <c r="J24" s="84">
        <f t="shared" si="1"/>
        <v>6281040.9129999997</v>
      </c>
      <c r="K24" s="84"/>
      <c r="L24" s="85"/>
    </row>
    <row r="25" spans="1:13" x14ac:dyDescent="0.25">
      <c r="A25" t="s">
        <v>60</v>
      </c>
      <c r="B25" t="s">
        <v>11</v>
      </c>
      <c r="C25" t="s">
        <v>66</v>
      </c>
      <c r="D25" s="76">
        <f>ROUND(VLOOKUP($C25,Px!$B$13:$K$19,9,0),4)</f>
        <v>5761.4069</v>
      </c>
      <c r="E25" s="107">
        <f>VLOOKUP(C25,Px!$B$13:$K$19,10,0)</f>
        <v>57.454000000000001</v>
      </c>
      <c r="F25" s="77"/>
      <c r="G25" s="104">
        <f>'ENEL DX'!Q8</f>
        <v>16</v>
      </c>
      <c r="H25" s="85">
        <f>ROUND('ENEL DX'!$I$8,0)</f>
        <v>6413</v>
      </c>
      <c r="I25" s="78">
        <f t="shared" si="0"/>
        <v>368453</v>
      </c>
      <c r="J25" s="79">
        <f t="shared" si="1"/>
        <v>92182.510399999999</v>
      </c>
      <c r="K25" s="79"/>
      <c r="L25" s="79"/>
      <c r="M25" s="86"/>
    </row>
    <row r="26" spans="1:13" ht="14.4" x14ac:dyDescent="0.3">
      <c r="A26" s="18"/>
      <c r="B26" s="18"/>
      <c r="C26" s="18"/>
      <c r="D26" s="18"/>
      <c r="E26" s="39"/>
      <c r="F26" s="75" t="s">
        <v>12</v>
      </c>
      <c r="G26" s="93">
        <f>SUM(G5:G25)</f>
        <v>7042</v>
      </c>
      <c r="H26" s="94">
        <f t="shared" ref="H26:K26" si="2">SUM(H5:H25)</f>
        <v>11487836</v>
      </c>
      <c r="I26" s="93">
        <f>SUM(I5:I25)</f>
        <v>648795707</v>
      </c>
      <c r="J26" s="93">
        <f>SUM(J5:J25)</f>
        <v>40337989.093999989</v>
      </c>
      <c r="K26" s="93">
        <f t="shared" si="2"/>
        <v>1009</v>
      </c>
      <c r="L26" s="94">
        <f>SUM(L5:L25)</f>
        <v>0</v>
      </c>
    </row>
    <row r="28" spans="1:13" x14ac:dyDescent="0.25">
      <c r="E28" s="11" t="s">
        <v>55</v>
      </c>
      <c r="F28" t="s">
        <v>56</v>
      </c>
    </row>
    <row r="32" spans="1:13" ht="13.8" x14ac:dyDescent="0.25">
      <c r="I32" s="57"/>
    </row>
    <row r="37" spans="9:15" x14ac:dyDescent="0.25">
      <c r="N37" s="15"/>
      <c r="O37" s="15"/>
    </row>
    <row r="39" spans="9:15" s="15" customFormat="1" ht="20.25" customHeight="1" x14ac:dyDescent="0.25">
      <c r="N39"/>
      <c r="O39"/>
    </row>
    <row r="41" spans="9:15" x14ac:dyDescent="0.25">
      <c r="I41" s="12"/>
      <c r="J41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90" zoomScaleNormal="90" workbookViewId="0">
      <selection activeCell="O25" sqref="O25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4" t="s">
        <v>39</v>
      </c>
      <c r="B3" s="34" t="s">
        <v>70</v>
      </c>
    </row>
    <row r="4" spans="1:18" ht="13.8" thickBot="1" x14ac:dyDescent="0.3">
      <c r="C4" s="118" t="s">
        <v>67</v>
      </c>
      <c r="D4" s="119"/>
      <c r="E4" s="119"/>
      <c r="F4" s="119"/>
      <c r="G4" s="119"/>
      <c r="H4" s="119"/>
      <c r="I4" s="119"/>
      <c r="J4" s="120"/>
      <c r="K4" s="118" t="s">
        <v>68</v>
      </c>
      <c r="L4" s="119"/>
      <c r="M4" s="119"/>
      <c r="N4" s="119"/>
      <c r="O4" s="119"/>
      <c r="P4" s="119"/>
      <c r="Q4" s="119"/>
      <c r="R4" s="120"/>
    </row>
    <row r="5" spans="1:18" ht="15" thickBot="1" x14ac:dyDescent="0.3">
      <c r="A5" s="35" t="s">
        <v>41</v>
      </c>
      <c r="B5" s="36" t="s">
        <v>42</v>
      </c>
      <c r="C5" s="100" t="s">
        <v>16</v>
      </c>
      <c r="D5" s="100" t="s">
        <v>61</v>
      </c>
      <c r="E5" s="100" t="s">
        <v>62</v>
      </c>
      <c r="F5" s="100" t="s">
        <v>63</v>
      </c>
      <c r="G5" s="100" t="s">
        <v>64</v>
      </c>
      <c r="H5" s="100" t="s">
        <v>65</v>
      </c>
      <c r="I5" s="100" t="s">
        <v>66</v>
      </c>
      <c r="J5" s="101" t="s">
        <v>12</v>
      </c>
      <c r="K5" s="102" t="s">
        <v>16</v>
      </c>
      <c r="L5" s="100" t="s">
        <v>61</v>
      </c>
      <c r="M5" s="100" t="s">
        <v>62</v>
      </c>
      <c r="N5" s="100" t="s">
        <v>63</v>
      </c>
      <c r="O5" s="100" t="s">
        <v>64</v>
      </c>
      <c r="P5" s="100" t="s">
        <v>65</v>
      </c>
      <c r="Q5" s="100" t="s">
        <v>66</v>
      </c>
      <c r="R5" s="101" t="s">
        <v>12</v>
      </c>
    </row>
    <row r="6" spans="1:18" x14ac:dyDescent="0.25">
      <c r="A6" s="37" t="s">
        <v>43</v>
      </c>
      <c r="B6" s="38" t="s">
        <v>44</v>
      </c>
      <c r="C6" s="97">
        <v>708906.53581859649</v>
      </c>
      <c r="D6" s="97">
        <v>666066.40075954271</v>
      </c>
      <c r="E6" s="97">
        <v>1418644.6670382889</v>
      </c>
      <c r="F6" s="97">
        <v>1770.4538617117419</v>
      </c>
      <c r="G6" s="97">
        <v>756.14528742599703</v>
      </c>
      <c r="H6" s="97">
        <v>533680.10222042224</v>
      </c>
      <c r="I6" s="97">
        <v>7852.8421125625973</v>
      </c>
      <c r="J6" s="98">
        <f>SUM(C6:I6)</f>
        <v>3337677.1470985506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8">
        <f>SUM(K6:Q6)</f>
        <v>0</v>
      </c>
    </row>
    <row r="7" spans="1:18" x14ac:dyDescent="0.25">
      <c r="A7" s="37" t="s">
        <v>43</v>
      </c>
      <c r="B7" s="38" t="s">
        <v>45</v>
      </c>
      <c r="C7" s="97">
        <v>1152174.9892980608</v>
      </c>
      <c r="D7" s="97">
        <v>1073993.4291809995</v>
      </c>
      <c r="E7" s="97">
        <v>2261182.3228116054</v>
      </c>
      <c r="F7" s="97">
        <v>2373.1044541843639</v>
      </c>
      <c r="G7" s="97">
        <v>1028.5662661006725</v>
      </c>
      <c r="H7" s="97">
        <v>878099.74879154121</v>
      </c>
      <c r="I7" s="97">
        <v>12557.594971255923</v>
      </c>
      <c r="J7" s="99">
        <f t="shared" ref="J7:J8" si="0">SUM(C7:I7)</f>
        <v>5381409.7557737483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9">
        <f t="shared" ref="R7:R8" si="1">SUM(K7:Q7)</f>
        <v>0</v>
      </c>
    </row>
    <row r="8" spans="1:18" x14ac:dyDescent="0.25">
      <c r="A8" s="37" t="s">
        <v>43</v>
      </c>
      <c r="B8" s="38" t="s">
        <v>46</v>
      </c>
      <c r="C8" s="97">
        <v>590377.68394398713</v>
      </c>
      <c r="D8" s="97">
        <v>550809.11926469835</v>
      </c>
      <c r="E8" s="97">
        <v>1184592.9537565864</v>
      </c>
      <c r="F8" s="97">
        <v>1187.7872183075747</v>
      </c>
      <c r="G8" s="97">
        <v>518.86127024508187</v>
      </c>
      <c r="H8" s="97">
        <v>434848.6212503509</v>
      </c>
      <c r="I8" s="97">
        <v>6413.4107462840229</v>
      </c>
      <c r="J8" s="99">
        <f t="shared" si="0"/>
        <v>2768748.4374504597</v>
      </c>
      <c r="K8" s="97">
        <v>1502</v>
      </c>
      <c r="L8" s="97">
        <v>1401</v>
      </c>
      <c r="M8" s="97">
        <v>3013</v>
      </c>
      <c r="N8" s="97">
        <v>3</v>
      </c>
      <c r="O8" s="97">
        <v>1</v>
      </c>
      <c r="P8" s="97">
        <v>1106</v>
      </c>
      <c r="Q8" s="97">
        <v>16</v>
      </c>
      <c r="R8" s="99">
        <f t="shared" si="1"/>
        <v>7042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K16" sqref="K16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72"/>
      <c r="F3" s="22"/>
      <c r="G3" s="71"/>
    </row>
    <row r="4" spans="1:15" ht="13.8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72"/>
      <c r="F4" s="22"/>
      <c r="G4" s="71"/>
      <c r="H4" s="95" t="s">
        <v>58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57</v>
      </c>
      <c r="H5" s="88">
        <v>3.0024919622239623</v>
      </c>
    </row>
    <row r="6" spans="1:15" ht="13.8" x14ac:dyDescent="0.3">
      <c r="A6" s="23" t="s">
        <v>26</v>
      </c>
      <c r="B6" s="22"/>
      <c r="C6" s="22">
        <v>779.31</v>
      </c>
      <c r="D6" s="24" t="s">
        <v>71</v>
      </c>
      <c r="E6" s="22"/>
      <c r="F6" s="22"/>
      <c r="G6" s="67" t="s">
        <v>53</v>
      </c>
      <c r="H6" s="89">
        <v>0.87943198434289549</v>
      </c>
    </row>
    <row r="7" spans="1:15" ht="13.8" x14ac:dyDescent="0.3">
      <c r="A7" s="23" t="s">
        <v>27</v>
      </c>
      <c r="B7" s="22"/>
      <c r="C7" s="91">
        <v>257.13600000000002</v>
      </c>
      <c r="D7" s="24"/>
      <c r="E7" s="22"/>
      <c r="F7" s="22"/>
      <c r="G7" s="68" t="s">
        <v>54</v>
      </c>
      <c r="H7" s="90">
        <v>0.80379756382292911</v>
      </c>
      <c r="K7" s="55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55"/>
    </row>
    <row r="9" spans="1:15" ht="13.8" x14ac:dyDescent="0.3">
      <c r="A9" s="25" t="s">
        <v>30</v>
      </c>
      <c r="B9" s="26"/>
      <c r="C9" s="30"/>
      <c r="D9" s="31" t="s">
        <v>72</v>
      </c>
      <c r="E9" s="22"/>
      <c r="F9" s="22"/>
      <c r="G9" s="22"/>
      <c r="O9" s="55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43"/>
      <c r="B11" s="43"/>
      <c r="C11" s="44"/>
      <c r="D11" s="43"/>
      <c r="E11" s="43"/>
      <c r="F11" s="43"/>
      <c r="G11" s="43"/>
      <c r="H11" s="45"/>
      <c r="I11" s="65"/>
      <c r="J11" s="45"/>
    </row>
    <row r="12" spans="1:15" ht="27.6" x14ac:dyDescent="0.25">
      <c r="A12" s="46" t="s">
        <v>48</v>
      </c>
      <c r="B12" s="46" t="s">
        <v>31</v>
      </c>
      <c r="C12" s="46" t="s">
        <v>49</v>
      </c>
      <c r="D12" s="46" t="s">
        <v>32</v>
      </c>
      <c r="E12" s="46" t="s">
        <v>52</v>
      </c>
      <c r="F12" s="46" t="s">
        <v>33</v>
      </c>
      <c r="G12" s="46" t="s">
        <v>34</v>
      </c>
      <c r="H12" s="46" t="s">
        <v>35</v>
      </c>
      <c r="I12" s="46" t="s">
        <v>36</v>
      </c>
      <c r="J12" s="73" t="s">
        <v>36</v>
      </c>
      <c r="K12" s="74" t="s">
        <v>50</v>
      </c>
    </row>
    <row r="13" spans="1:15" ht="13.8" x14ac:dyDescent="0.3">
      <c r="A13" s="22" t="s">
        <v>69</v>
      </c>
      <c r="B13" s="22" t="s">
        <v>16</v>
      </c>
      <c r="C13" s="47"/>
      <c r="D13" s="48">
        <v>0.97599999999999998</v>
      </c>
      <c r="E13" s="48">
        <v>1.0036</v>
      </c>
      <c r="F13" s="49">
        <f>($C$3*$C$7/$C$8-$H$5)*D13</f>
        <v>81.033567967152109</v>
      </c>
      <c r="G13" s="49">
        <f>$C$4*$C$7/$C$8*E13</f>
        <v>9.0987181318203234</v>
      </c>
      <c r="H13" s="49">
        <f>F13*$C$6/1000</f>
        <v>63.150269852481301</v>
      </c>
      <c r="I13" s="66">
        <f>G13*$C$6</f>
        <v>7090.722027308896</v>
      </c>
      <c r="J13" s="92">
        <f>ROUND(I13*$H$7,4)</f>
        <v>5699.5051000000003</v>
      </c>
      <c r="K13" s="50">
        <f>ROUND(H13*$H$6,3)</f>
        <v>55.536000000000001</v>
      </c>
    </row>
    <row r="14" spans="1:15" ht="13.8" x14ac:dyDescent="0.3">
      <c r="A14" s="22" t="s">
        <v>69</v>
      </c>
      <c r="B14" s="22" t="s">
        <v>61</v>
      </c>
      <c r="C14" s="47"/>
      <c r="D14" s="48">
        <v>1.0036</v>
      </c>
      <c r="E14" s="48">
        <v>1.0115000000000001</v>
      </c>
      <c r="F14" s="49">
        <f t="shared" ref="F14:F19" si="0">($C$3*$C$7/$C$8-$H$5)*D14</f>
        <v>83.325090995731415</v>
      </c>
      <c r="G14" s="49">
        <f t="shared" ref="G14:G15" si="1">$C$4*$C$7/$C$8*E14</f>
        <v>9.170340165739594</v>
      </c>
      <c r="H14" s="49">
        <f t="shared" ref="H14:H15" si="2">F14*$C$6/1000</f>
        <v>64.936076663883441</v>
      </c>
      <c r="I14" s="66">
        <f>G14*$C$6</f>
        <v>7146.5377945625223</v>
      </c>
      <c r="J14" s="92">
        <f t="shared" ref="J14:J19" si="3">ROUND(I14*$H$7,4)</f>
        <v>5744.3697000000002</v>
      </c>
      <c r="K14" s="50">
        <f t="shared" ref="K14:K19" si="4">ROUND(H14*$H$6,3)</f>
        <v>57.106999999999999</v>
      </c>
    </row>
    <row r="15" spans="1:15" ht="13.8" x14ac:dyDescent="0.3">
      <c r="A15" s="22" t="s">
        <v>69</v>
      </c>
      <c r="B15" s="22" t="s">
        <v>62</v>
      </c>
      <c r="C15" s="47"/>
      <c r="D15" s="48">
        <v>0.99270000000000003</v>
      </c>
      <c r="E15" s="48">
        <v>1.0129999999999999</v>
      </c>
      <c r="F15" s="49">
        <f t="shared" si="0"/>
        <v>82.420105451835965</v>
      </c>
      <c r="G15" s="49">
        <f t="shared" si="1"/>
        <v>9.1839392861040121</v>
      </c>
      <c r="H15" s="49">
        <f t="shared" si="2"/>
        <v>64.230812379670283</v>
      </c>
      <c r="I15" s="66">
        <f>G15*$C$6</f>
        <v>7157.1357250537176</v>
      </c>
      <c r="J15" s="92">
        <f t="shared" si="3"/>
        <v>5752.8882999999996</v>
      </c>
      <c r="K15" s="50">
        <f t="shared" si="4"/>
        <v>56.487000000000002</v>
      </c>
    </row>
    <row r="16" spans="1:15" ht="13.8" x14ac:dyDescent="0.3">
      <c r="A16" s="22" t="s">
        <v>69</v>
      </c>
      <c r="B16" s="22" t="s">
        <v>63</v>
      </c>
      <c r="C16" s="47"/>
      <c r="D16" s="48">
        <v>1.0078</v>
      </c>
      <c r="E16" s="48">
        <v>1.0126999999999999</v>
      </c>
      <c r="F16" s="49">
        <f t="shared" si="0"/>
        <v>83.673801021819571</v>
      </c>
      <c r="G16" s="49">
        <f>$C$4*$C$7/$C$8*E16</f>
        <v>9.1812194620311285</v>
      </c>
      <c r="H16" s="49">
        <f>F16*$C$6/1000</f>
        <v>65.207829874314214</v>
      </c>
      <c r="I16" s="66">
        <f>G16*$C$6</f>
        <v>7155.0161389554778</v>
      </c>
      <c r="J16" s="92">
        <f t="shared" si="3"/>
        <v>5751.1845000000003</v>
      </c>
      <c r="K16" s="50">
        <f t="shared" si="4"/>
        <v>57.345999999999997</v>
      </c>
    </row>
    <row r="17" spans="1:11" ht="13.8" x14ac:dyDescent="0.3">
      <c r="A17" s="22" t="s">
        <v>69</v>
      </c>
      <c r="B17" t="s">
        <v>64</v>
      </c>
      <c r="D17" s="48">
        <v>0.96560000000000001</v>
      </c>
      <c r="E17" s="48">
        <v>0.97570000000000001</v>
      </c>
      <c r="F17" s="49">
        <f t="shared" si="0"/>
        <v>80.170095521600501</v>
      </c>
      <c r="G17" s="49">
        <f t="shared" ref="G17:G19" si="5">$C$4*$C$7/$C$8*E17</f>
        <v>8.8457744930421374</v>
      </c>
      <c r="H17" s="49">
        <f t="shared" ref="H17:H19" si="6">F17*$C$6/1000</f>
        <v>62.47735714093848</v>
      </c>
      <c r="I17" s="66">
        <f t="shared" ref="I17:I19" si="7">G17*$C$6</f>
        <v>6893.6005201726675</v>
      </c>
      <c r="J17" s="92">
        <f t="shared" si="3"/>
        <v>5541.0592999999999</v>
      </c>
      <c r="K17" s="50">
        <f t="shared" si="4"/>
        <v>54.945</v>
      </c>
    </row>
    <row r="18" spans="1:11" ht="13.8" x14ac:dyDescent="0.3">
      <c r="A18" s="22" t="s">
        <v>69</v>
      </c>
      <c r="B18" t="s">
        <v>65</v>
      </c>
      <c r="D18" s="48">
        <v>1</v>
      </c>
      <c r="E18" s="48">
        <v>1</v>
      </c>
      <c r="F18" s="49">
        <f t="shared" si="0"/>
        <v>83.026196687655855</v>
      </c>
      <c r="G18" s="49">
        <f t="shared" si="5"/>
        <v>9.0660802429457181</v>
      </c>
      <c r="H18" s="49">
        <f t="shared" si="6"/>
        <v>64.703145340657073</v>
      </c>
      <c r="I18" s="66">
        <f t="shared" si="7"/>
        <v>7065.2869941300269</v>
      </c>
      <c r="J18" s="92">
        <f t="shared" si="3"/>
        <v>5679.0604999999996</v>
      </c>
      <c r="K18" s="50">
        <f t="shared" si="4"/>
        <v>56.902000000000001</v>
      </c>
    </row>
    <row r="19" spans="1:11" ht="13.8" x14ac:dyDescent="0.3">
      <c r="A19" s="22" t="s">
        <v>69</v>
      </c>
      <c r="B19" t="s">
        <v>66</v>
      </c>
      <c r="D19" s="48">
        <v>1.0097</v>
      </c>
      <c r="E19" s="48">
        <v>1.0145</v>
      </c>
      <c r="F19" s="49">
        <f t="shared" si="0"/>
        <v>83.831550795526127</v>
      </c>
      <c r="G19" s="49">
        <f t="shared" si="5"/>
        <v>9.1975384064684302</v>
      </c>
      <c r="H19" s="49">
        <f t="shared" si="6"/>
        <v>65.330765850461461</v>
      </c>
      <c r="I19" s="66">
        <f t="shared" si="7"/>
        <v>7167.7336555449119</v>
      </c>
      <c r="J19" s="92">
        <f t="shared" si="3"/>
        <v>5761.4069</v>
      </c>
      <c r="K19" s="50">
        <f t="shared" si="4"/>
        <v>57.454000000000001</v>
      </c>
    </row>
    <row r="22" spans="1:11" x14ac:dyDescent="0.25">
      <c r="E22" s="87"/>
    </row>
    <row r="24" spans="1:11" ht="13.8" x14ac:dyDescent="0.3">
      <c r="I24" s="22"/>
    </row>
    <row r="25" spans="1:11" ht="13.8" x14ac:dyDescent="0.3">
      <c r="I25" s="22"/>
    </row>
    <row r="26" spans="1:11" ht="13.8" x14ac:dyDescent="0.3">
      <c r="I26" s="22"/>
    </row>
    <row r="27" spans="1:11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2021-04-13T13:56:18Z</dcterms:modified>
</cp:coreProperties>
</file>