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5-May\"/>
    </mc:Choice>
  </mc:AlternateContent>
  <xr:revisionPtr revIDLastSave="0" documentId="13_ncr:1_{738A6D35-F20F-45D5-BF16-D1A44A3C3F29}" xr6:coauthVersionLast="46" xr6:coauthVersionMax="46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2" l="1"/>
  <c r="F13" i="2"/>
  <c r="F14" i="2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K13" i="2" s="1"/>
  <c r="H14" i="2" l="1"/>
  <c r="K14" i="2" s="1"/>
  <c r="H15" i="2"/>
  <c r="K15" i="2" s="1"/>
  <c r="E13" i="1" l="1"/>
  <c r="E10" i="1"/>
  <c r="E7" i="1"/>
  <c r="E12" i="1"/>
  <c r="G14" i="2"/>
  <c r="I14" i="2" s="1"/>
  <c r="J14" i="2" s="1"/>
  <c r="G15" i="2"/>
  <c r="I15" i="2" s="1"/>
  <c r="J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J13" i="2" s="1"/>
  <c r="D11" i="1" l="1"/>
  <c r="D8" i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N5" i="1" s="1"/>
  <c r="G14" i="1"/>
  <c r="N6" i="1" s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<sst xmlns="http://schemas.openxmlformats.org/spreadsheetml/2006/main" count="129" uniqueCount="77">
  <si>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</si>
  <si>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</si>
  <si>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</si>
  <si>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</si>
  <si>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</si>
  <si>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</si>
  <si>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</si>
  <si>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</si>
  <si>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</si>
  <si>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</si>
  <si>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</si>
  <si>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</si>
  <si>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</si>
  <si>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</si>
  <si>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</si>
  <si>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</si>
  <si>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</si>
  <si>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</si>
  <si>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</si>
  <si>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</si>
  <si>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</si>
  <si>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</si>
  <si>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</si>
  <si>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</si>
  <si>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</si>
  <si>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</si>
  <si>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</si>
  <si>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</si>
  <si>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</si>
  <si>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</si>
  <si>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</si>
  <si>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</si>
  <si>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</si>
  <si>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</si>
  <si>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</si>
  <si>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</si>
  <si>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</si>
  <si>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</si>
  <si>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</si>
  <si>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</si>
  <si>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</si>
  <si>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</si>
  <si>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</si>
  <si>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</si>
  <si>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</si>
  <si>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</si>
  <si>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</si>
  <si>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</si>
  <si>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</si>
  <si>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</si>
  <si>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</si>
  <si>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</si>
  <si>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</si>
  <si>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</si>
  <si>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</si>
  <si>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</si>
  <si>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</si>
  <si>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</si>
  <si>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</si>
  <si>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</si>
  <si>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</si>
  <si>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</si>
  <si>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</si>
  <si>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</si>
  <si>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</si>
  <si>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</si>
  <si>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</si>
  <si>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</si>
  <si>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</si>
  <si>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</si>
  <si>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</si>
  <si>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</si>
  <si>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</si>
  <si>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ITD Enero 2021</t>
  </si>
  <si>
    <t>PNP 12T-20 (abr-20 a sep-20)</t>
  </si>
  <si>
    <t>12T/2020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</si>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</sst>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0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L19" sqref="L1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4" t="s">
        <v>16</v>
      </c>
      <c r="J2" s="115"/>
      <c r="K2" s="115"/>
      <c r="L2" s="116"/>
    </row>
    <row r="3" spans="1:15" x14ac:dyDescent="0.25">
      <c r="A3" s="117" t="s">
        <v>15</v>
      </c>
      <c r="B3" s="120" t="s">
        <v>0</v>
      </c>
      <c r="C3" s="122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19" t="s">
        <v>58</v>
      </c>
      <c r="O3" s="119"/>
    </row>
    <row r="4" spans="1:15" ht="14.4" x14ac:dyDescent="0.3">
      <c r="A4" s="118"/>
      <c r="B4" s="121"/>
      <c r="C4" s="123"/>
      <c r="D4" s="75" t="s">
        <v>6</v>
      </c>
      <c r="E4" s="73" t="s">
        <v>7</v>
      </c>
      <c r="F4" s="33" t="s">
        <v>53</v>
      </c>
      <c r="G4" s="3" t="s">
        <v>57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66</v>
      </c>
      <c r="O4" s="10" t="s">
        <v>71</v>
      </c>
    </row>
    <row r="5" spans="1:15" x14ac:dyDescent="0.25">
      <c r="A5" t="s">
        <v>71</v>
      </c>
      <c r="B5" s="5" t="s">
        <v>9</v>
      </c>
      <c r="C5" s="6" t="s">
        <v>41</v>
      </c>
      <c r="D5" s="17">
        <f>VLOOKUP($C5,Px!$B$13:$K$16,9,0)</f>
        <v>4987.6612415843383</v>
      </c>
      <c r="E5" s="89">
        <f>VLOOKUP($C5,Px!$B$13:$K$16,10,0)</f>
        <v>54.234662356950771</v>
      </c>
      <c r="F5" s="51"/>
      <c r="G5" s="7"/>
      <c r="H5" s="91">
        <f>(COOPELAN!C6)/1000</f>
        <v>1.7181540390531984</v>
      </c>
      <c r="I5" s="93">
        <f t="shared" ref="I5:I12" si="0">H5*E5*1000</f>
        <v>93183.504185281417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tr">
        <f>"Active Energy: "&amp;TEXT(H14*1000,"#,###")&amp;" kWh"</f>
        <v>Active Energy: 322,516 kWh</v>
      </c>
      <c r="O5" s="12">
        <f>I14</f>
        <v>17495651.506902348</v>
      </c>
    </row>
    <row r="6" spans="1:15" x14ac:dyDescent="0.25">
      <c r="A6" t="s">
        <v>71</v>
      </c>
      <c r="B6" t="s">
        <v>9</v>
      </c>
      <c r="C6" s="8" t="s">
        <v>70</v>
      </c>
      <c r="D6" s="16">
        <f>VLOOKUP($C6,Px!$B$13:$K$16,9,0)</f>
        <v>4929.9323835235245</v>
      </c>
      <c r="E6" s="90">
        <f>VLOOKUP($C6,Px!$B$13:$K$16,10,0)</f>
        <v>54.300971269468995</v>
      </c>
      <c r="F6" s="52"/>
      <c r="G6" s="9"/>
      <c r="H6" s="92">
        <f>(COOPELAN!F6)/1000</f>
        <v>82.230561532771347</v>
      </c>
      <c r="I6" s="96">
        <f t="shared" si="0"/>
        <v>4465199.3592633186</v>
      </c>
      <c r="J6" s="97">
        <f t="shared" si="1"/>
        <v>0</v>
      </c>
      <c r="K6" s="97"/>
      <c r="L6" s="98">
        <f t="shared" si="2"/>
        <v>0</v>
      </c>
      <c r="N6" s="11" t="str">
        <f>"Capacity: "&amp;TEXT(G14*1000,"###")&amp;" kW"</f>
        <v>Capacity: 627 kW</v>
      </c>
      <c r="O6" s="12">
        <f>J14</f>
        <v>3088433.1943071107</v>
      </c>
    </row>
    <row r="7" spans="1:15" x14ac:dyDescent="0.25">
      <c r="A7" t="s">
        <v>71</v>
      </c>
      <c r="B7" t="s">
        <v>9</v>
      </c>
      <c r="C7" s="8" t="s">
        <v>72</v>
      </c>
      <c r="D7" s="16">
        <f>VLOOKUP($C7,Px!$B$13:$K$16,9,0)</f>
        <v>4896.3039225172251</v>
      </c>
      <c r="E7" s="90">
        <f>VLOOKUP($C7,Px!$B$13:$K$16,10,0)</f>
        <v>53.541432816987523</v>
      </c>
      <c r="F7" s="52"/>
      <c r="G7" s="9"/>
      <c r="H7" s="92">
        <f>(COOPELAN!I6)/1000</f>
        <v>6.2076972455669148</v>
      </c>
      <c r="I7" s="96">
        <f t="shared" si="0"/>
        <v>332369.00502171949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71</v>
      </c>
      <c r="B8" t="s">
        <v>10</v>
      </c>
      <c r="C8" s="8" t="s">
        <v>41</v>
      </c>
      <c r="D8" s="16">
        <f>VLOOKUP($C8,Px!$B$13:$K$16,9,0)</f>
        <v>4987.6612415843383</v>
      </c>
      <c r="E8" s="90">
        <f>VLOOKUP($C8,Px!$B$13:$K$16,10,0)</f>
        <v>54.234662356950771</v>
      </c>
      <c r="F8" s="52"/>
      <c r="G8" s="9"/>
      <c r="H8" s="92">
        <f>(COOPELAN!D7)/1000</f>
        <v>2.7966494993725619</v>
      </c>
      <c r="I8" s="96">
        <f t="shared" ref="I8:I10" si="3">H8*E8*1000</f>
        <v>151675.34132920631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71</v>
      </c>
      <c r="B9" t="s">
        <v>10</v>
      </c>
      <c r="C9" s="8" t="s">
        <v>70</v>
      </c>
      <c r="D9" s="16">
        <f>VLOOKUP($C9,Px!$B$13:$K$16,9,0)</f>
        <v>4929.9323835235245</v>
      </c>
      <c r="E9" s="90">
        <f>VLOOKUP($C9,Px!$B$13:$K$16,10,0)</f>
        <v>54.300971269468995</v>
      </c>
      <c r="F9" s="52"/>
      <c r="G9" s="9"/>
      <c r="H9" s="92">
        <f>(COOPELAN!G7)/1000</f>
        <v>133.87448459262879</v>
      </c>
      <c r="I9" s="96">
        <f t="shared" si="3"/>
        <v>7269514.5415793061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20584084.701209459</v>
      </c>
    </row>
    <row r="10" spans="1:15" x14ac:dyDescent="0.25">
      <c r="A10" t="s">
        <v>71</v>
      </c>
      <c r="B10" t="s">
        <v>10</v>
      </c>
      <c r="C10" s="8" t="s">
        <v>72</v>
      </c>
      <c r="D10" s="16">
        <f>VLOOKUP($C10,Px!$B$13:$K$16,9,0)</f>
        <v>4896.3039225172251</v>
      </c>
      <c r="E10" s="90">
        <f>VLOOKUP($C10,Px!$B$13:$K$16,10,0)</f>
        <v>53.541432816987523</v>
      </c>
      <c r="F10" s="52"/>
      <c r="G10" s="9"/>
      <c r="H10" s="92">
        <f>(COOPELAN!J7)/1000</f>
        <v>10.105499699164614</v>
      </c>
      <c r="I10" s="96">
        <f t="shared" si="3"/>
        <v>541062.93322490982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71</v>
      </c>
      <c r="B11" t="s">
        <v>11</v>
      </c>
      <c r="C11" s="8" t="s">
        <v>41</v>
      </c>
      <c r="D11" s="16">
        <f>VLOOKUP($C11,Px!$B$13:$K$16,9,0)</f>
        <v>4987.6612415843383</v>
      </c>
      <c r="E11" s="90">
        <f>VLOOKUP($C11,Px!$B$13:$K$16,10,0)</f>
        <v>54.234662356950771</v>
      </c>
      <c r="F11" s="52"/>
      <c r="G11" s="9">
        <f>COOPELAN!M8/1000</f>
        <v>1.192004701685887E-2</v>
      </c>
      <c r="H11" s="92">
        <f>(COOPELAN!E8)/1000</f>
        <v>1.6280207587321607</v>
      </c>
      <c r="I11" s="96">
        <f t="shared" si="0"/>
        <v>88295.156159945545</v>
      </c>
      <c r="J11" s="97">
        <f t="shared" si="1"/>
        <v>59453.156503849998</v>
      </c>
      <c r="K11" s="97"/>
      <c r="L11" s="98">
        <f t="shared" si="2"/>
        <v>0</v>
      </c>
    </row>
    <row r="12" spans="1:15" x14ac:dyDescent="0.25">
      <c r="A12" t="s">
        <v>71</v>
      </c>
      <c r="B12" t="s">
        <v>11</v>
      </c>
      <c r="C12" s="8" t="s">
        <v>70</v>
      </c>
      <c r="D12" s="16">
        <f>VLOOKUP($C12,Px!$B$13:$K$16,9,0)</f>
        <v>4929.9323835235245</v>
      </c>
      <c r="E12" s="90">
        <f>VLOOKUP($C12,Px!$B$13:$K$16,10,0)</f>
        <v>54.300971269468995</v>
      </c>
      <c r="F12" s="52"/>
      <c r="G12" s="9">
        <f>COOPELAN!N8/1000</f>
        <v>0.57158510688562125</v>
      </c>
      <c r="H12" s="92">
        <f>(COOPELAN!H8)/1000</f>
        <v>78.066170215253749</v>
      </c>
      <c r="I12" s="96">
        <f t="shared" si="0"/>
        <v>4239068.8659759695</v>
      </c>
      <c r="J12" s="97">
        <f t="shared" si="1"/>
        <v>2817875.9283751794</v>
      </c>
      <c r="K12" s="97"/>
      <c r="L12" s="98">
        <f t="shared" si="2"/>
        <v>0</v>
      </c>
    </row>
    <row r="13" spans="1:15" x14ac:dyDescent="0.25">
      <c r="A13" t="s">
        <v>71</v>
      </c>
      <c r="B13" t="s">
        <v>11</v>
      </c>
      <c r="C13" s="8" t="s">
        <v>72</v>
      </c>
      <c r="D13" s="16">
        <f>VLOOKUP($C13,Px!$B$13:$K$16,9,0)</f>
        <v>4896.3039225172251</v>
      </c>
      <c r="E13" s="90">
        <f>VLOOKUP($C13,Px!$B$13:$K$16,10,0)</f>
        <v>53.541432816987523</v>
      </c>
      <c r="F13" s="52"/>
      <c r="G13" s="9">
        <f>COOPELAN!O8/1000</f>
        <v>4.3114993016926749E-2</v>
      </c>
      <c r="H13" s="92">
        <f>(COOPELAN!K8)/1000</f>
        <v>5.8885760722985525</v>
      </c>
      <c r="I13" s="96">
        <f>H13*E13*1000</f>
        <v>315282.80016269319</v>
      </c>
      <c r="J13" s="97">
        <f>G13*D13*1000</f>
        <v>211104.10942808122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0.62662014691940693</v>
      </c>
      <c r="H14" s="112">
        <f t="shared" si="6"/>
        <v>322.51581365484191</v>
      </c>
      <c r="I14" s="108">
        <f>SUM(I5:I13)</f>
        <v>17495651.506902348</v>
      </c>
      <c r="J14" s="108">
        <f t="shared" si="6"/>
        <v>3088433.1943071107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62</v>
      </c>
      <c r="F16" t="s">
        <v>63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K21" sqref="K21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76</v>
      </c>
      <c r="C3" s="124" t="s">
        <v>43</v>
      </c>
      <c r="D3" s="125"/>
      <c r="E3" s="125"/>
      <c r="F3" s="125"/>
      <c r="G3" s="125"/>
      <c r="H3" s="125"/>
      <c r="I3" s="125"/>
      <c r="J3" s="125"/>
      <c r="K3" s="125"/>
      <c r="L3" s="126"/>
      <c r="M3" s="124" t="s">
        <v>23</v>
      </c>
      <c r="N3" s="125"/>
      <c r="O3" s="126"/>
      <c r="R3" s="35"/>
      <c r="S3" s="36"/>
    </row>
    <row r="4" spans="1:19" ht="15" thickBot="1" x14ac:dyDescent="0.35">
      <c r="C4" s="127" t="s">
        <v>67</v>
      </c>
      <c r="D4" s="127"/>
      <c r="E4" s="127"/>
      <c r="F4" s="127" t="s">
        <v>68</v>
      </c>
      <c r="G4" s="127"/>
      <c r="H4" s="127"/>
      <c r="I4" s="127" t="s">
        <v>69</v>
      </c>
      <c r="J4" s="127"/>
      <c r="K4" s="127"/>
      <c r="L4" s="128" t="s">
        <v>44</v>
      </c>
      <c r="M4" s="124" t="s">
        <v>45</v>
      </c>
      <c r="N4" s="125"/>
      <c r="O4" s="126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29"/>
      <c r="M5" s="43" t="s">
        <v>67</v>
      </c>
      <c r="N5" s="44" t="s">
        <v>68</v>
      </c>
      <c r="O5" s="44" t="s">
        <v>69</v>
      </c>
      <c r="S5" s="37"/>
    </row>
    <row r="6" spans="1:19" ht="14.4" x14ac:dyDescent="0.3">
      <c r="A6" s="45" t="s">
        <v>49</v>
      </c>
      <c r="B6" s="46" t="s">
        <v>50</v>
      </c>
      <c r="C6" s="67">
        <v>1718.1540390531984</v>
      </c>
      <c r="D6" s="68">
        <v>0</v>
      </c>
      <c r="E6" s="68">
        <v>0</v>
      </c>
      <c r="F6" s="68">
        <v>82230.561532771346</v>
      </c>
      <c r="G6" s="68">
        <v>0</v>
      </c>
      <c r="H6" s="68">
        <v>0</v>
      </c>
      <c r="I6" s="68">
        <v>6207.6972455669147</v>
      </c>
      <c r="J6" s="68">
        <v>0</v>
      </c>
      <c r="K6" s="69">
        <v>0</v>
      </c>
      <c r="L6" s="66">
        <f>SUM(C6:K6)</f>
        <v>90156.412817391465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2796.6494993725619</v>
      </c>
      <c r="E7" s="68">
        <v>0</v>
      </c>
      <c r="F7" s="68">
        <v>0</v>
      </c>
      <c r="G7" s="68">
        <v>133874.48459262878</v>
      </c>
      <c r="H7" s="68">
        <v>0</v>
      </c>
      <c r="I7" s="68">
        <v>0</v>
      </c>
      <c r="J7" s="68">
        <v>10105.499699164615</v>
      </c>
      <c r="K7" s="69">
        <v>0</v>
      </c>
      <c r="L7" s="66">
        <f>SUM(C7:K7)</f>
        <v>146776.63379116595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1628.0207587321606</v>
      </c>
      <c r="F8" s="68">
        <v>0</v>
      </c>
      <c r="G8" s="68">
        <v>0</v>
      </c>
      <c r="H8" s="68">
        <v>78066.170215253747</v>
      </c>
      <c r="I8" s="68">
        <v>0</v>
      </c>
      <c r="J8" s="68">
        <v>0</v>
      </c>
      <c r="K8" s="69">
        <v>5888.5760722985524</v>
      </c>
      <c r="L8" s="66">
        <f>SUM(C8:K8)</f>
        <v>85582.767046284469</v>
      </c>
      <c r="M8" s="47">
        <v>11.92004701685887</v>
      </c>
      <c r="N8" s="47">
        <v>571.58510688562126</v>
      </c>
      <c r="O8" s="47">
        <v>43.114993016926746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H17" sqref="H17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  <c r="J3" s="111">
        <v>44539</v>
      </c>
    </row>
    <row r="4" spans="1:11" ht="13.8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65</v>
      </c>
      <c r="I4" s="56" t="s">
        <v>65</v>
      </c>
      <c r="J4" s="56" t="s">
        <v>73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64</v>
      </c>
      <c r="H5" s="101">
        <v>3.1463981736115865</v>
      </c>
      <c r="I5" s="101">
        <v>3.1463981736115865</v>
      </c>
      <c r="J5" s="101">
        <v>3.1538686777380271</v>
      </c>
    </row>
    <row r="6" spans="1:11" ht="13.8" x14ac:dyDescent="0.3">
      <c r="A6" s="23" t="s">
        <v>25</v>
      </c>
      <c r="B6" s="22"/>
      <c r="C6" s="22">
        <v>801.49</v>
      </c>
      <c r="D6" s="24" t="s">
        <v>74</v>
      </c>
      <c r="E6" s="22"/>
      <c r="F6" s="22"/>
      <c r="G6" s="81" t="s">
        <v>60</v>
      </c>
      <c r="H6" s="109">
        <v>0.87942121205570145</v>
      </c>
      <c r="I6" s="109">
        <v>0.87943198434289549</v>
      </c>
      <c r="J6" s="109">
        <v>0.90529547693185475</v>
      </c>
    </row>
    <row r="7" spans="1:11" ht="13.8" x14ac:dyDescent="0.3">
      <c r="A7" s="23" t="s">
        <v>26</v>
      </c>
      <c r="B7" s="22"/>
      <c r="C7" s="102">
        <v>257.74599999999998</v>
      </c>
      <c r="D7" s="24"/>
      <c r="E7" s="22"/>
      <c r="F7" s="22"/>
      <c r="G7" s="82" t="s">
        <v>61</v>
      </c>
      <c r="H7" s="110">
        <v>0.80379756382292911</v>
      </c>
      <c r="I7" s="110">
        <v>0.80379756382292911</v>
      </c>
      <c r="J7" s="110">
        <v>0.76950071006485832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  <c r="J8" s="113"/>
    </row>
    <row r="9" spans="1:11" ht="13.8" x14ac:dyDescent="0.3">
      <c r="A9" s="25" t="s">
        <v>29</v>
      </c>
      <c r="B9" s="26"/>
      <c r="C9" s="30"/>
      <c r="D9" s="31" t="s">
        <v>75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59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71</v>
      </c>
      <c r="B13" s="22" t="s">
        <v>41</v>
      </c>
      <c r="C13" s="57"/>
      <c r="D13" s="58">
        <v>0.89970000000000006</v>
      </c>
      <c r="E13" s="58">
        <v>0.88990000000000002</v>
      </c>
      <c r="F13" s="59">
        <f>($C$3*$C$7/$C$8-$J$5)*D13</f>
        <v>74.746090451851288</v>
      </c>
      <c r="G13" s="59">
        <f>$C$4*$C$7/$C$8*E13</f>
        <v>8.0870441816534644</v>
      </c>
      <c r="H13" s="59">
        <f>F13*$C$6/1000</f>
        <v>59.908244036254288</v>
      </c>
      <c r="I13" s="80">
        <f>G13*$C$6</f>
        <v>6481.6850411534351</v>
      </c>
      <c r="J13" s="103">
        <f>I13*$J$7</f>
        <v>4987.6612415843383</v>
      </c>
      <c r="K13" s="60">
        <f>H13*$J$6</f>
        <v>54.234662356950771</v>
      </c>
    </row>
    <row r="14" spans="1:11" ht="13.8" x14ac:dyDescent="0.3">
      <c r="A14" s="22" t="s">
        <v>71</v>
      </c>
      <c r="B14" s="22" t="s">
        <v>70</v>
      </c>
      <c r="C14" s="57"/>
      <c r="D14" s="58">
        <v>0.90080000000000005</v>
      </c>
      <c r="E14" s="58">
        <v>0.87960000000000005</v>
      </c>
      <c r="F14" s="59">
        <f>($C$3*$C$7/$C$8-$J$5)*D14</f>
        <v>74.837477246890785</v>
      </c>
      <c r="G14" s="59">
        <f t="shared" ref="G14:G15" si="0">$C$4*$C$7/$C$8*E14</f>
        <v>7.993442029646463</v>
      </c>
      <c r="H14" s="59">
        <f t="shared" ref="H14:H15" si="1">F14*$C$6/1000</f>
        <v>59.981489638610498</v>
      </c>
      <c r="I14" s="80">
        <f t="shared" ref="I14:I15" si="2">G14*$C$6</f>
        <v>6406.663852341344</v>
      </c>
      <c r="J14" s="103">
        <f t="shared" ref="J14:J15" si="3">I14*$J$7</f>
        <v>4929.9323835235245</v>
      </c>
      <c r="K14" s="60">
        <f t="shared" ref="K14:K15" si="4">H14*$J$6</f>
        <v>54.300971269468995</v>
      </c>
    </row>
    <row r="15" spans="1:11" ht="13.8" x14ac:dyDescent="0.3">
      <c r="A15" s="22" t="s">
        <v>71</v>
      </c>
      <c r="B15" s="22" t="s">
        <v>72</v>
      </c>
      <c r="C15" s="57"/>
      <c r="D15" s="58">
        <v>0.88819999999999999</v>
      </c>
      <c r="E15" s="58">
        <v>0.87360000000000004</v>
      </c>
      <c r="F15" s="59">
        <f>($C$3*$C$7/$C$8-$J$5)*D15</f>
        <v>73.790683049165622</v>
      </c>
      <c r="G15" s="59">
        <f t="shared" si="0"/>
        <v>7.9389165042054914</v>
      </c>
      <c r="H15" s="59">
        <f t="shared" si="1"/>
        <v>59.142494557075757</v>
      </c>
      <c r="I15" s="80">
        <f t="shared" si="2"/>
        <v>6362.9621889556593</v>
      </c>
      <c r="J15" s="103">
        <f t="shared" si="3"/>
        <v>4896.3039225172251</v>
      </c>
      <c r="K15" s="60">
        <f t="shared" si="4"/>
        <v>53.541432816987523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2021-05-12T15:10:23Z</dcterms:modified>
</cp:coreProperties>
</file>