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6-Jun\"/>
    </mc:Choice>
  </mc:AlternateContent>
  <xr:revisionPtr revIDLastSave="0" documentId="13_ncr:1_{0DD98B71-1901-47B8-9982-0D56C5443581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SOCOEPA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" i="1" l="1"/>
  <c r="H12" i="1"/>
  <c r="H11" i="1"/>
  <c r="H10" i="1"/>
  <c r="H9" i="1"/>
  <c r="H8" i="1"/>
  <c r="H7" i="1"/>
  <c r="H6" i="1"/>
  <c r="H5" i="1"/>
  <c r="E13" i="1"/>
  <c r="E12" i="1"/>
  <c r="E11" i="1"/>
  <c r="E10" i="1"/>
  <c r="E9" i="1"/>
  <c r="E8" i="1"/>
  <c r="E7" i="1"/>
  <c r="E6" i="1"/>
  <c r="E5" i="1"/>
  <c r="F5" i="2" l="1"/>
  <c r="F14" i="2"/>
  <c r="G13" i="1"/>
  <c r="G12" i="1"/>
  <c r="G11" i="1"/>
  <c r="F8" i="3"/>
  <c r="F7" i="3"/>
  <c r="F6" i="3"/>
  <c r="F15" i="2"/>
  <c r="F13" i="2"/>
  <c r="K14" i="1" l="1"/>
  <c r="O7" i="1" s="1"/>
  <c r="H13" i="2" l="1"/>
  <c r="K13" i="2" s="1"/>
  <c r="H14" i="2" l="1"/>
  <c r="K14" i="2" s="1"/>
  <c r="H15" i="2"/>
  <c r="K15" i="2" s="1"/>
  <c r="I13" i="1" l="1"/>
  <c r="I10" i="1"/>
  <c r="I7" i="1"/>
  <c r="I12" i="1"/>
  <c r="G14" i="2"/>
  <c r="I14" i="2" s="1"/>
  <c r="J14" i="2" s="1"/>
  <c r="G15" i="2"/>
  <c r="I15" i="2" s="1"/>
  <c r="J15" i="2" s="1"/>
  <c r="G13" i="2"/>
  <c r="D13" i="1" l="1"/>
  <c r="J13" i="1" s="1"/>
  <c r="D10" i="1"/>
  <c r="J10" i="1" s="1"/>
  <c r="D7" i="1"/>
  <c r="J7" i="1" s="1"/>
  <c r="D6" i="1"/>
  <c r="J6" i="1" s="1"/>
  <c r="D12" i="1"/>
  <c r="J12" i="1" s="1"/>
  <c r="D9" i="1"/>
  <c r="J9" i="1" s="1"/>
  <c r="I8" i="1"/>
  <c r="I5" i="1"/>
  <c r="I11" i="1"/>
  <c r="I6" i="1"/>
  <c r="I9" i="1"/>
  <c r="I13" i="2"/>
  <c r="J13" i="2" s="1"/>
  <c r="D11" i="1" l="1"/>
  <c r="J11" i="1" s="1"/>
  <c r="D8" i="1"/>
  <c r="J8" i="1" s="1"/>
  <c r="D5" i="1"/>
  <c r="J5" i="1" s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<sst xmlns="http://schemas.openxmlformats.org/spreadsheetml/2006/main" count="117" uniqueCount="68">
  <si>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</si>
  <si>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</si>
  <si>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</si>
  <si>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</si>
  <si>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</si>
  <si>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</si>
  <si>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</si>
  <si>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</si>
  <si>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</si>
  <si>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</si>
  <si>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</si>
  <si>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</si>
  <si>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</si>
  <si>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</si>
  <si>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</si>
  <si>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</si>
  <si>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</si>
  <si>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</si>
  <si>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</si>
  <si>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</si>
  <si>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</si>
  <si>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</si>
  <si>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</si>
  <si>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</si>
  <si>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</si>
  <si>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</si>
  <si>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</si>
  <si>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</si>
  <si>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</si>
  <si>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</si>
  <si>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</si>
  <si>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</si>
  <si>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</si>
  <si>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</si>
  <si>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</si>
  <si>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</si>
  <si>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</si>
  <si>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</si>
  <si>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</si>
  <si>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</si>
  <si>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</si>
  <si>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</si>
  <si>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</si>
  <si>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</si>
  <si>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</si>
  <si>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</si>
  <si>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</si>
  <si>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</si>
  <si>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</si>
  <si>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</si>
  <si>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</si>
  <si>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</si>
  <si>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</si>
  <si>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</si>
  <si>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</si>
  <si>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</si>
  <si>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ITD Enero 2021</t>
  </si>
  <si>
    <t>PNP 12T-20 (abr-20 a sep-20)</t>
  </si>
  <si>
    <t>12T/2020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</si>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</sst>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0.00000"/>
    <numFmt numFmtId="170" formatCode="#,##0.0"/>
  </numFmts>
  <fonts count="14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9" fillId="9" borderId="16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2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0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5" xfId="0" applyNumberFormat="1" applyBorder="1" applyAlignment="1">
      <alignment horizontal="center"/>
    </xf>
    <xf numFmtId="165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16" fontId="0" fillId="0" borderId="0" xfId="0" applyNumberFormat="1"/>
    <xf numFmtId="164" fontId="0" fillId="0" borderId="0" xfId="0" applyNumberFormat="1"/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0" fillId="0" borderId="11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70" fontId="2" fillId="3" borderId="6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I20" sqref="I20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119" t="s">
        <v>15</v>
      </c>
      <c r="J2" s="120"/>
      <c r="K2" s="120"/>
      <c r="L2" s="121"/>
    </row>
    <row r="3" spans="1:15" x14ac:dyDescent="0.25">
      <c r="A3" s="122" t="s">
        <v>14</v>
      </c>
      <c r="B3" s="125" t="s">
        <v>0</v>
      </c>
      <c r="C3" s="127" t="s">
        <v>1</v>
      </c>
      <c r="D3" s="59" t="s">
        <v>2</v>
      </c>
      <c r="E3" s="57" t="s">
        <v>3</v>
      </c>
      <c r="F3" s="32" t="s">
        <v>38</v>
      </c>
      <c r="G3" s="1" t="s">
        <v>4</v>
      </c>
      <c r="H3" s="2" t="s">
        <v>5</v>
      </c>
      <c r="I3" s="51" t="s">
        <v>36</v>
      </c>
      <c r="J3" s="50" t="s">
        <v>4</v>
      </c>
      <c r="K3" s="50" t="s">
        <v>35</v>
      </c>
      <c r="L3" s="39" t="s">
        <v>38</v>
      </c>
      <c r="N3" s="124" t="s">
        <v>66</v>
      </c>
      <c r="O3" s="124"/>
    </row>
    <row r="4" spans="1:15" ht="14.4" x14ac:dyDescent="0.3">
      <c r="A4" s="123"/>
      <c r="B4" s="126"/>
      <c r="C4" s="128"/>
      <c r="D4" s="60" t="s">
        <v>6</v>
      </c>
      <c r="E4" s="58" t="s">
        <v>7</v>
      </c>
      <c r="F4" s="33" t="s">
        <v>45</v>
      </c>
      <c r="G4" s="3" t="s">
        <v>65</v>
      </c>
      <c r="H4" s="4" t="s">
        <v>64</v>
      </c>
      <c r="I4" s="63" t="s">
        <v>13</v>
      </c>
      <c r="J4" s="61" t="s">
        <v>13</v>
      </c>
      <c r="K4" s="61" t="s">
        <v>13</v>
      </c>
      <c r="L4" s="62" t="s">
        <v>13</v>
      </c>
      <c r="N4" s="10" t="s">
        <v>55</v>
      </c>
      <c r="O4" s="10" t="s">
        <v>59</v>
      </c>
    </row>
    <row r="5" spans="1:15" x14ac:dyDescent="0.25">
      <c r="A5" t="s">
        <v>59</v>
      </c>
      <c r="B5" s="5" t="s">
        <v>8</v>
      </c>
      <c r="C5" t="s">
        <v>61</v>
      </c>
      <c r="D5" s="17">
        <f>VLOOKUP($C5,Px!$B$13:$K$16,9,0)</f>
        <v>5720.7616915216704</v>
      </c>
      <c r="E5" s="74">
        <f>ROUND(VLOOKUP($C5,Px!$B$13:$K$16,10,0),3)</f>
        <v>52.918999999999997</v>
      </c>
      <c r="F5" s="40"/>
      <c r="G5" s="7"/>
      <c r="H5" s="76">
        <f>SOCOEPA!C6</f>
        <v>6707.4595971170893</v>
      </c>
      <c r="I5" s="78">
        <f>H5*E5</f>
        <v>354952.05441983923</v>
      </c>
      <c r="J5" s="79">
        <f>G5*D5</f>
        <v>0</v>
      </c>
      <c r="K5" s="79">
        <v>1427.2112053786061</v>
      </c>
      <c r="L5" s="80">
        <f t="shared" ref="L5:L12" si="0">H5*F5*1000</f>
        <v>0</v>
      </c>
      <c r="N5" s="11" t="str">
        <f>"Active Energy: "&amp;TEXT(H14,"#,###")&amp;" kWh"</f>
        <v>Active Energy: 36,767 kWh</v>
      </c>
      <c r="O5" s="12">
        <f>I14</f>
        <v>1873165.0386137066</v>
      </c>
    </row>
    <row r="6" spans="1:15" x14ac:dyDescent="0.25">
      <c r="A6" t="s">
        <v>59</v>
      </c>
      <c r="B6" t="s">
        <v>8</v>
      </c>
      <c r="C6" t="s">
        <v>62</v>
      </c>
      <c r="D6" s="16">
        <f>VLOOKUP($C6,Px!$B$13:$K$16,9,0)</f>
        <v>5164.2106618674115</v>
      </c>
      <c r="E6" s="75">
        <f>ROUND(VLOOKUP($C6,Px!$B$13:$K$16,10,0),3)</f>
        <v>48.084000000000003</v>
      </c>
      <c r="F6" s="41"/>
      <c r="G6" s="9"/>
      <c r="H6" s="77">
        <f>SOCOEPA!D6</f>
        <v>4650.5778112676962</v>
      </c>
      <c r="I6" s="81">
        <f t="shared" ref="I6:I13" si="1">H6*E6</f>
        <v>223618.38347699592</v>
      </c>
      <c r="J6" s="82">
        <f t="shared" ref="J6:J13" si="2">G6*D6</f>
        <v>0</v>
      </c>
      <c r="K6" s="82"/>
      <c r="L6" s="83">
        <f t="shared" si="0"/>
        <v>0</v>
      </c>
      <c r="N6" s="11" t="str">
        <f>"Capacity: "&amp;TEXT(G14,"###")&amp;" kW"</f>
        <v>Capacity: 65 kW</v>
      </c>
      <c r="O6" s="12">
        <f>J14</f>
        <v>357379.18317789782</v>
      </c>
    </row>
    <row r="7" spans="1:15" x14ac:dyDescent="0.25">
      <c r="A7" t="s">
        <v>59</v>
      </c>
      <c r="B7" t="s">
        <v>8</v>
      </c>
      <c r="C7" t="s">
        <v>63</v>
      </c>
      <c r="D7" s="16">
        <f>VLOOKUP($C7,Px!$B$13:$K$16,9,0)</f>
        <v>5115.4493934082775</v>
      </c>
      <c r="E7" s="75">
        <f>ROUND(VLOOKUP($C7,Px!$B$13:$K$16,10,0),3)</f>
        <v>47.345999999999997</v>
      </c>
      <c r="F7" s="41"/>
      <c r="G7" s="9"/>
      <c r="H7" s="77">
        <f>SOCOEPA!E6</f>
        <v>52.515411472609436</v>
      </c>
      <c r="I7" s="81">
        <f t="shared" si="1"/>
        <v>2486.3946715821662</v>
      </c>
      <c r="J7" s="82">
        <f t="shared" si="2"/>
        <v>0</v>
      </c>
      <c r="K7" s="82"/>
      <c r="L7" s="83">
        <f t="shared" si="0"/>
        <v>0</v>
      </c>
      <c r="N7" s="11" t="s">
        <v>12</v>
      </c>
      <c r="O7" s="12">
        <f>K14</f>
        <v>4600.9315862888188</v>
      </c>
    </row>
    <row r="8" spans="1:15" x14ac:dyDescent="0.25">
      <c r="A8" t="s">
        <v>59</v>
      </c>
      <c r="B8" t="s">
        <v>9</v>
      </c>
      <c r="C8" t="s">
        <v>61</v>
      </c>
      <c r="D8" s="16">
        <f>VLOOKUP($C8,Px!$B$13:$K$16,9,0)</f>
        <v>5720.7616915216704</v>
      </c>
      <c r="E8" s="75">
        <f>ROUND(VLOOKUP($C8,Px!$B$13:$K$16,10,0),3)</f>
        <v>52.918999999999997</v>
      </c>
      <c r="F8" s="41"/>
      <c r="G8" s="9"/>
      <c r="H8" s="77">
        <f>SOCOEPA!C7</f>
        <v>9551.862366589352</v>
      </c>
      <c r="I8" s="81">
        <f t="shared" si="1"/>
        <v>505475.0045775419</v>
      </c>
      <c r="J8" s="82">
        <f t="shared" si="2"/>
        <v>0</v>
      </c>
      <c r="K8" s="82">
        <v>2014.2532774932047</v>
      </c>
      <c r="L8" s="83">
        <f t="shared" ref="L8:L10" si="3">H8*F8*1000</f>
        <v>0</v>
      </c>
      <c r="N8" s="11" t="s">
        <v>38</v>
      </c>
      <c r="O8" s="12">
        <f>L14</f>
        <v>0</v>
      </c>
    </row>
    <row r="9" spans="1:15" x14ac:dyDescent="0.25">
      <c r="A9" t="s">
        <v>59</v>
      </c>
      <c r="B9" t="s">
        <v>9</v>
      </c>
      <c r="C9" t="s">
        <v>62</v>
      </c>
      <c r="D9" s="16">
        <f>VLOOKUP($C9,Px!$B$13:$K$16,9,0)</f>
        <v>5164.2106618674115</v>
      </c>
      <c r="E9" s="75">
        <f>ROUND(VLOOKUP($C9,Px!$B$13:$K$16,10,0),3)</f>
        <v>48.084000000000003</v>
      </c>
      <c r="F9" s="41"/>
      <c r="G9" s="9"/>
      <c r="H9" s="77">
        <f>SOCOEPA!D7</f>
        <v>6470.210610462037</v>
      </c>
      <c r="I9" s="81">
        <f t="shared" si="1"/>
        <v>311113.6069934566</v>
      </c>
      <c r="J9" s="82">
        <f t="shared" si="2"/>
        <v>0</v>
      </c>
      <c r="K9" s="82"/>
      <c r="L9" s="83">
        <f t="shared" si="3"/>
        <v>0</v>
      </c>
      <c r="N9" s="13" t="s">
        <v>11</v>
      </c>
      <c r="O9" s="14">
        <f>SUM(O5:O8)</f>
        <v>2235145.1533778934</v>
      </c>
    </row>
    <row r="10" spans="1:15" x14ac:dyDescent="0.25">
      <c r="A10" t="s">
        <v>59</v>
      </c>
      <c r="B10" t="s">
        <v>9</v>
      </c>
      <c r="C10" t="s">
        <v>63</v>
      </c>
      <c r="D10" s="16">
        <f>VLOOKUP($C10,Px!$B$13:$K$16,9,0)</f>
        <v>5115.4493934082775</v>
      </c>
      <c r="E10" s="75">
        <f>ROUND(VLOOKUP($C10,Px!$B$13:$K$16,10,0),3)</f>
        <v>47.345999999999997</v>
      </c>
      <c r="F10" s="41"/>
      <c r="G10" s="9"/>
      <c r="H10" s="77">
        <f>SOCOEPA!E7</f>
        <v>73.267212986933785</v>
      </c>
      <c r="I10" s="81">
        <f t="shared" si="1"/>
        <v>3468.9094660793667</v>
      </c>
      <c r="J10" s="82">
        <f t="shared" si="2"/>
        <v>0</v>
      </c>
      <c r="K10" s="82"/>
      <c r="L10" s="83">
        <f t="shared" si="3"/>
        <v>0</v>
      </c>
    </row>
    <row r="11" spans="1:15" x14ac:dyDescent="0.25">
      <c r="A11" t="s">
        <v>59</v>
      </c>
      <c r="B11" t="s">
        <v>10</v>
      </c>
      <c r="C11" t="s">
        <v>61</v>
      </c>
      <c r="D11" s="16">
        <f>VLOOKUP($C11,Px!$B$13:$K$16,9,0)</f>
        <v>5720.7616915216704</v>
      </c>
      <c r="E11" s="75">
        <f>ROUND(VLOOKUP($C11,Px!$B$13:$K$16,10,0),3)</f>
        <v>52.918999999999997</v>
      </c>
      <c r="F11" s="41"/>
      <c r="G11" s="9">
        <f>SOCOEPA!G8</f>
        <v>39</v>
      </c>
      <c r="H11" s="77">
        <f>SOCOEPA!C8</f>
        <v>5538.842406869463</v>
      </c>
      <c r="I11" s="81">
        <f t="shared" si="1"/>
        <v>293110.00132912508</v>
      </c>
      <c r="J11" s="82">
        <f t="shared" si="2"/>
        <v>223109.70596934514</v>
      </c>
      <c r="K11" s="82">
        <v>1159.467103417008</v>
      </c>
      <c r="L11" s="83">
        <f t="shared" si="0"/>
        <v>0</v>
      </c>
    </row>
    <row r="12" spans="1:15" x14ac:dyDescent="0.25">
      <c r="A12" t="s">
        <v>59</v>
      </c>
      <c r="B12" t="s">
        <v>10</v>
      </c>
      <c r="C12" t="s">
        <v>62</v>
      </c>
      <c r="D12" s="16">
        <f>VLOOKUP($C12,Px!$B$13:$K$16,9,0)</f>
        <v>5164.2106618674115</v>
      </c>
      <c r="E12" s="75">
        <f>ROUND(VLOOKUP($C12,Px!$B$13:$K$16,10,0),3)</f>
        <v>48.084000000000003</v>
      </c>
      <c r="F12" s="41"/>
      <c r="G12" s="9">
        <f>SOCOEPA!H8</f>
        <v>26</v>
      </c>
      <c r="H12" s="77">
        <f>SOCOEPA!D8</f>
        <v>3680.2867592843531</v>
      </c>
      <c r="I12" s="81">
        <f t="shared" si="1"/>
        <v>176962.90853342885</v>
      </c>
      <c r="J12" s="82">
        <f t="shared" si="2"/>
        <v>134269.47720855271</v>
      </c>
      <c r="K12" s="82"/>
      <c r="L12" s="83">
        <f t="shared" si="0"/>
        <v>0</v>
      </c>
    </row>
    <row r="13" spans="1:15" x14ac:dyDescent="0.25">
      <c r="A13" t="s">
        <v>59</v>
      </c>
      <c r="B13" t="s">
        <v>10</v>
      </c>
      <c r="C13" t="s">
        <v>63</v>
      </c>
      <c r="D13" s="16">
        <f>VLOOKUP($C13,Px!$B$13:$K$16,9,0)</f>
        <v>5115.4493934082775</v>
      </c>
      <c r="E13" s="75">
        <f>ROUND(VLOOKUP($C13,Px!$B$13:$K$16,10,0),3)</f>
        <v>47.345999999999997</v>
      </c>
      <c r="F13" s="41"/>
      <c r="G13" s="9">
        <f>SOCOEPA!I8</f>
        <v>0</v>
      </c>
      <c r="H13" s="77">
        <f>SOCOEPA!E8</f>
        <v>41.772803312999557</v>
      </c>
      <c r="I13" s="81">
        <f t="shared" si="1"/>
        <v>1977.7751456572769</v>
      </c>
      <c r="J13" s="82">
        <f t="shared" si="2"/>
        <v>0</v>
      </c>
      <c r="K13" s="82"/>
      <c r="L13" s="83">
        <f>H13*F13*1000</f>
        <v>0</v>
      </c>
    </row>
    <row r="14" spans="1:15" ht="14.4" x14ac:dyDescent="0.3">
      <c r="A14" s="18"/>
      <c r="B14" s="18"/>
      <c r="C14" s="18"/>
      <c r="D14" s="18"/>
      <c r="E14" s="90"/>
      <c r="F14" s="91" t="s">
        <v>11</v>
      </c>
      <c r="G14" s="118">
        <f t="shared" ref="G14:L14" si="4">SUM(G5:G13)</f>
        <v>65</v>
      </c>
      <c r="H14" s="89">
        <f t="shared" si="4"/>
        <v>36766.794979362538</v>
      </c>
      <c r="I14" s="92">
        <f>SUM(I5:I13)</f>
        <v>1873165.0386137066</v>
      </c>
      <c r="J14" s="92">
        <f t="shared" si="4"/>
        <v>357379.18317789782</v>
      </c>
      <c r="K14" s="92">
        <f t="shared" si="4"/>
        <v>4600.9315862888188</v>
      </c>
      <c r="L14" s="89">
        <f t="shared" si="4"/>
        <v>0</v>
      </c>
    </row>
    <row r="16" spans="1:15" x14ac:dyDescent="0.25">
      <c r="E16" s="11" t="s">
        <v>52</v>
      </c>
      <c r="F16" t="s">
        <v>53</v>
      </c>
      <c r="L16" s="107"/>
      <c r="M16" s="107"/>
    </row>
    <row r="20" spans="1:15" ht="13.8" x14ac:dyDescent="0.25">
      <c r="I20" s="56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I8"/>
  <sheetViews>
    <sheetView workbookViewId="0">
      <selection activeCell="I15" sqref="I15"/>
    </sheetView>
  </sheetViews>
  <sheetFormatPr baseColWidth="10" defaultRowHeight="13.2" x14ac:dyDescent="0.25"/>
  <cols>
    <col min="1" max="1" width="21" bestFit="1" customWidth="1"/>
  </cols>
  <sheetData>
    <row r="3" spans="1:9" ht="15" thickBot="1" x14ac:dyDescent="0.35">
      <c r="A3" s="34" t="s">
        <v>37</v>
      </c>
      <c r="B3" s="34" t="s">
        <v>67</v>
      </c>
    </row>
    <row r="4" spans="1:9" ht="15" thickBot="1" x14ac:dyDescent="0.35">
      <c r="C4" s="129" t="s">
        <v>60</v>
      </c>
      <c r="D4" s="130"/>
      <c r="E4" s="130"/>
      <c r="F4" s="131"/>
      <c r="G4" s="129" t="s">
        <v>22</v>
      </c>
      <c r="H4" s="130"/>
      <c r="I4" s="131"/>
    </row>
    <row r="5" spans="1:9" ht="15" thickBot="1" x14ac:dyDescent="0.35">
      <c r="A5" s="35" t="s">
        <v>39</v>
      </c>
      <c r="B5" s="36" t="s">
        <v>40</v>
      </c>
      <c r="C5" s="97" t="s">
        <v>61</v>
      </c>
      <c r="D5" s="98" t="s">
        <v>62</v>
      </c>
      <c r="E5" s="100" t="s">
        <v>63</v>
      </c>
      <c r="F5" s="97" t="s">
        <v>11</v>
      </c>
      <c r="G5" s="97" t="s">
        <v>61</v>
      </c>
      <c r="H5" s="98" t="s">
        <v>62</v>
      </c>
      <c r="I5" s="99" t="s">
        <v>63</v>
      </c>
    </row>
    <row r="6" spans="1:9" x14ac:dyDescent="0.25">
      <c r="A6" s="37" t="s">
        <v>41</v>
      </c>
      <c r="B6" s="38" t="s">
        <v>42</v>
      </c>
      <c r="C6" s="101">
        <v>6707.4595971170893</v>
      </c>
      <c r="D6" s="102">
        <v>4650.5778112676962</v>
      </c>
      <c r="E6" s="115">
        <v>52.515411472609436</v>
      </c>
      <c r="F6" s="103">
        <f>SUM(C6:E6)</f>
        <v>11410.552819857396</v>
      </c>
      <c r="G6" s="113">
        <v>0</v>
      </c>
      <c r="H6" s="5">
        <v>0</v>
      </c>
      <c r="I6" s="6">
        <v>0</v>
      </c>
    </row>
    <row r="7" spans="1:9" x14ac:dyDescent="0.25">
      <c r="A7" s="37" t="s">
        <v>41</v>
      </c>
      <c r="B7" s="38" t="s">
        <v>43</v>
      </c>
      <c r="C7" s="104">
        <v>9551.862366589352</v>
      </c>
      <c r="D7" s="105">
        <v>6470.210610462037</v>
      </c>
      <c r="E7" s="116">
        <v>73.267212986933785</v>
      </c>
      <c r="F7" s="106">
        <f t="shared" ref="F7:F8" si="0">SUM(C7:E7)</f>
        <v>16095.340190038323</v>
      </c>
      <c r="G7" s="84">
        <v>0</v>
      </c>
      <c r="H7" s="107">
        <v>0</v>
      </c>
      <c r="I7" s="8">
        <v>0</v>
      </c>
    </row>
    <row r="8" spans="1:9" x14ac:dyDescent="0.25">
      <c r="A8" s="37" t="s">
        <v>41</v>
      </c>
      <c r="B8" s="38" t="s">
        <v>44</v>
      </c>
      <c r="C8" s="108">
        <v>5538.842406869463</v>
      </c>
      <c r="D8" s="109">
        <v>3680.2867592843531</v>
      </c>
      <c r="E8" s="117">
        <v>41.772803312999557</v>
      </c>
      <c r="F8" s="110">
        <f t="shared" si="0"/>
        <v>9260.901969466815</v>
      </c>
      <c r="G8" s="114">
        <v>39</v>
      </c>
      <c r="H8" s="111">
        <v>26</v>
      </c>
      <c r="I8" s="112">
        <v>0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K15" sqref="K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16</v>
      </c>
      <c r="B2" s="20"/>
      <c r="C2" s="20" t="s">
        <v>17</v>
      </c>
      <c r="D2" s="21" t="s">
        <v>18</v>
      </c>
      <c r="E2" s="22"/>
      <c r="F2" s="22"/>
      <c r="G2" s="22"/>
    </row>
    <row r="3" spans="1:11" ht="13.8" x14ac:dyDescent="0.3">
      <c r="A3" s="23" t="s">
        <v>19</v>
      </c>
      <c r="B3" s="22" t="s">
        <v>20</v>
      </c>
      <c r="C3" s="22">
        <v>79.322000000000003</v>
      </c>
      <c r="D3" s="24" t="s">
        <v>21</v>
      </c>
      <c r="E3" s="71"/>
      <c r="F3" s="22"/>
      <c r="G3" s="70"/>
      <c r="H3" s="95">
        <v>44539</v>
      </c>
    </row>
    <row r="4" spans="1:11" ht="13.8" x14ac:dyDescent="0.3">
      <c r="A4" s="25" t="s">
        <v>22</v>
      </c>
      <c r="B4" s="26" t="s">
        <v>23</v>
      </c>
      <c r="C4" s="26">
        <v>8.3592999999999993</v>
      </c>
      <c r="D4" s="27" t="s">
        <v>21</v>
      </c>
      <c r="E4" s="71"/>
      <c r="F4" s="22"/>
      <c r="G4" s="70"/>
      <c r="H4" s="45" t="s">
        <v>56</v>
      </c>
    </row>
    <row r="5" spans="1:11" ht="13.8" x14ac:dyDescent="0.3">
      <c r="A5" s="19" t="s">
        <v>16</v>
      </c>
      <c r="B5" s="20"/>
      <c r="C5" s="20" t="s">
        <v>17</v>
      </c>
      <c r="D5" s="21" t="s">
        <v>18</v>
      </c>
      <c r="E5" s="22"/>
      <c r="F5" s="22">
        <f>C3*C7/C8</f>
        <v>86.232773259099915</v>
      </c>
      <c r="G5" s="19" t="s">
        <v>54</v>
      </c>
      <c r="H5" s="86">
        <v>2.8331890392315939</v>
      </c>
    </row>
    <row r="6" spans="1:11" ht="13.8" x14ac:dyDescent="0.3">
      <c r="A6" s="23" t="s">
        <v>24</v>
      </c>
      <c r="B6" s="22"/>
      <c r="C6" s="22">
        <v>801.49</v>
      </c>
      <c r="D6" s="24" t="s">
        <v>57</v>
      </c>
      <c r="F6" s="22">
        <v>694.38</v>
      </c>
      <c r="G6" s="66" t="s">
        <v>50</v>
      </c>
      <c r="H6" s="93">
        <v>0.90529547693185475</v>
      </c>
    </row>
    <row r="7" spans="1:11" ht="13.8" x14ac:dyDescent="0.3">
      <c r="A7" s="23" t="s">
        <v>25</v>
      </c>
      <c r="B7" s="22"/>
      <c r="C7" s="87">
        <v>257.74599999999998</v>
      </c>
      <c r="D7" s="24"/>
      <c r="E7" s="22"/>
      <c r="F7" s="22">
        <v>255.22200000000001</v>
      </c>
      <c r="G7" s="67" t="s">
        <v>51</v>
      </c>
      <c r="H7" s="94">
        <v>0.76950071006485832</v>
      </c>
    </row>
    <row r="8" spans="1:11" ht="13.8" x14ac:dyDescent="0.3">
      <c r="A8" s="23" t="s">
        <v>26</v>
      </c>
      <c r="B8" s="22"/>
      <c r="C8" s="28">
        <v>237.09</v>
      </c>
      <c r="D8" s="29" t="s">
        <v>27</v>
      </c>
      <c r="E8" s="22"/>
      <c r="F8" s="22"/>
      <c r="G8" s="22"/>
      <c r="H8" s="96"/>
    </row>
    <row r="9" spans="1:11" ht="13.8" x14ac:dyDescent="0.3">
      <c r="A9" s="25" t="s">
        <v>28</v>
      </c>
      <c r="B9" s="26"/>
      <c r="C9" s="30"/>
      <c r="D9" s="31" t="s">
        <v>58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1" ht="27.6" x14ac:dyDescent="0.25">
      <c r="A12" s="45" t="s">
        <v>46</v>
      </c>
      <c r="B12" s="45" t="s">
        <v>29</v>
      </c>
      <c r="C12" s="45" t="s">
        <v>47</v>
      </c>
      <c r="D12" s="45" t="s">
        <v>30</v>
      </c>
      <c r="E12" s="45" t="s">
        <v>49</v>
      </c>
      <c r="F12" s="45" t="s">
        <v>31</v>
      </c>
      <c r="G12" s="45" t="s">
        <v>32</v>
      </c>
      <c r="H12" s="45" t="s">
        <v>33</v>
      </c>
      <c r="I12" s="45" t="s">
        <v>34</v>
      </c>
      <c r="J12" s="72" t="s">
        <v>34</v>
      </c>
      <c r="K12" s="73" t="s">
        <v>48</v>
      </c>
    </row>
    <row r="13" spans="1:11" ht="13.8" x14ac:dyDescent="0.3">
      <c r="A13" s="22" t="s">
        <v>59</v>
      </c>
      <c r="B13" s="22" t="s">
        <v>61</v>
      </c>
      <c r="C13" s="46"/>
      <c r="D13" s="47">
        <v>0.87450000000000006</v>
      </c>
      <c r="E13" s="47">
        <v>1.0206999999999999</v>
      </c>
      <c r="F13" s="48">
        <f>($C$3*$C$7/$C$8-$H$5)*D13</f>
        <v>72.932936400274841</v>
      </c>
      <c r="G13" s="48">
        <f>$C$4*$C$7/$C$8*E13</f>
        <v>9.2757006362666488</v>
      </c>
      <c r="H13" s="48">
        <f>F13*$C$6/1000</f>
        <v>58.455019195456281</v>
      </c>
      <c r="I13" s="65">
        <f>G13*$C$6</f>
        <v>7434.3813029613566</v>
      </c>
      <c r="J13" s="88">
        <f>I13*$H$7</f>
        <v>5720.7616915216704</v>
      </c>
      <c r="K13" s="49">
        <f>H13*$H$6</f>
        <v>52.919064481611315</v>
      </c>
    </row>
    <row r="14" spans="1:11" ht="13.8" x14ac:dyDescent="0.3">
      <c r="A14" s="22" t="s">
        <v>59</v>
      </c>
      <c r="B14" s="22" t="s">
        <v>62</v>
      </c>
      <c r="C14" s="46"/>
      <c r="D14" s="47">
        <v>0.79459999999999997</v>
      </c>
      <c r="E14" s="47">
        <v>0.9214</v>
      </c>
      <c r="F14" s="48">
        <f>($C$3*$C$7/$C$8-$H$5)*D14</f>
        <v>66.269309621107368</v>
      </c>
      <c r="G14" s="48">
        <f t="shared" ref="G14:G15" si="0">$C$4*$C$7/$C$8*E14</f>
        <v>8.3733031902185662</v>
      </c>
      <c r="H14" s="48">
        <f t="shared" ref="H14:H15" si="1">F14*$C$6/1000</f>
        <v>53.114188968221342</v>
      </c>
      <c r="I14" s="65">
        <f t="shared" ref="I14:I15" si="2">G14*$C$6</f>
        <v>6711.1187739282786</v>
      </c>
      <c r="J14" s="88">
        <f t="shared" ref="J14:J15" si="3">I14*$H$7</f>
        <v>5164.2106618674115</v>
      </c>
      <c r="K14" s="49">
        <f t="shared" ref="K14:K15" si="4">H14*$H$6</f>
        <v>48.084035033834596</v>
      </c>
    </row>
    <row r="15" spans="1:11" ht="13.8" x14ac:dyDescent="0.3">
      <c r="A15" s="22" t="s">
        <v>59</v>
      </c>
      <c r="B15" s="22" t="s">
        <v>63</v>
      </c>
      <c r="C15" s="46"/>
      <c r="D15" s="47">
        <v>0.78239999999999998</v>
      </c>
      <c r="E15" s="47">
        <v>0.91269999999999996</v>
      </c>
      <c r="F15" s="48">
        <f>($C$3*$C$7/$C$8-$H$5)*D15</f>
        <v>65.251834693624971</v>
      </c>
      <c r="G15" s="48">
        <f t="shared" si="0"/>
        <v>8.2942411783291572</v>
      </c>
      <c r="H15" s="48">
        <f t="shared" si="1"/>
        <v>52.29869298859348</v>
      </c>
      <c r="I15" s="65">
        <f t="shared" si="2"/>
        <v>6647.7513620190366</v>
      </c>
      <c r="J15" s="88">
        <f t="shared" si="3"/>
        <v>5115.4493934082775</v>
      </c>
      <c r="K15" s="49">
        <f t="shared" si="4"/>
        <v>47.345770212021385</v>
      </c>
    </row>
    <row r="16" spans="1:11" ht="13.8" x14ac:dyDescent="0.3">
      <c r="A16" s="22"/>
      <c r="B16" s="22"/>
      <c r="C16" s="46"/>
      <c r="D16" s="47"/>
      <c r="E16" s="47"/>
      <c r="F16" s="48"/>
      <c r="G16" s="48"/>
      <c r="H16" s="48"/>
      <c r="I16" s="65"/>
      <c r="J16" s="88"/>
      <c r="K16" s="49"/>
    </row>
    <row r="17" spans="1:9" x14ac:dyDescent="0.25">
      <c r="E17" s="54"/>
      <c r="I17" s="54"/>
    </row>
    <row r="18" spans="1:9" x14ac:dyDescent="0.25">
      <c r="E18" s="54"/>
      <c r="I18" s="54"/>
    </row>
    <row r="19" spans="1:9" ht="13.8" x14ac:dyDescent="0.3">
      <c r="A19" s="48"/>
      <c r="B19" s="54"/>
    </row>
    <row r="22" spans="1:9" x14ac:dyDescent="0.25">
      <c r="E22" s="85"/>
    </row>
    <row r="23" spans="1:9" ht="13.8" x14ac:dyDescent="0.3">
      <c r="D23" s="47"/>
      <c r="E23" s="47"/>
    </row>
    <row r="24" spans="1:9" ht="13.8" x14ac:dyDescent="0.3">
      <c r="D24" s="47"/>
      <c r="E24" s="47"/>
      <c r="I24" s="22"/>
    </row>
    <row r="25" spans="1:9" ht="13.8" x14ac:dyDescent="0.3">
      <c r="D25" s="47"/>
      <c r="E25" s="47"/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2021-06-10T22:51:50Z</dcterms:modified>
</cp:coreProperties>
</file>