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7-Jul\"/>
    </mc:Choice>
  </mc:AlternateContent>
  <xr:revisionPtr revIDLastSave="0" documentId="13_ncr:1_{90E69032-7DD2-4A39-8268-B7B1223658D9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" i="1" l="1"/>
  <c r="O8" i="3" l="1"/>
  <c r="O7" i="3"/>
  <c r="O6" i="3"/>
  <c r="F13" i="2" l="1"/>
  <c r="H13" i="2" s="1"/>
  <c r="F14" i="2"/>
  <c r="F15" i="2"/>
  <c r="F16" i="2"/>
  <c r="G13" i="1" l="1"/>
  <c r="K17" i="1" l="1"/>
  <c r="O7" i="1" s="1"/>
  <c r="K13" i="2" l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D12" i="1"/>
  <c r="D8" i="1"/>
  <c r="E16" i="1"/>
  <c r="I16" i="1" s="1"/>
  <c r="E12" i="1"/>
  <c r="E8" i="1"/>
  <c r="I8" i="1" s="1"/>
  <c r="I12" i="1"/>
  <c r="J16" i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D7" i="1"/>
  <c r="D14" i="1"/>
  <c r="D10" i="1"/>
  <c r="D6" i="1"/>
  <c r="J11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<sst xmlns="http://schemas.openxmlformats.org/spreadsheetml/2006/main" count="156" uniqueCount="84">
  <si>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</si>
  <si>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</si>
  <si>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</si>
  <si>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</si>
  <si>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</si>
  <si>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</si>
  <si>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</si>
  <si>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</si>
  <si>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</si>
  <si>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</si>
  <si>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</si>
  <si>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</si>
  <si>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</si>
  <si>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</si>
  <si>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</si>
  <si>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</si>
  <si>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</si>
  <si>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</si>
  <si>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</si>
  <si>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</si>
  <si>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</si>
  <si>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</si>
  <si>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</si>
  <si>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</si>
  <si>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</si>
  <si>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</si>
  <si>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</si>
  <si>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</si>
  <si>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</si>
  <si>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</si>
  <si>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</si>
  <si>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</si>
  <si>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</si>
  <si>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</si>
  <si>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</si>
  <si>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</si>
  <si>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</si>
  <si>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</si>
  <si>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</si>
  <si>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</si>
  <si>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</si>
  <si>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</si>
  <si>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</si>
  <si>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</si>
  <si>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</si>
  <si>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</si>
  <si>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</si>
  <si>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</si>
  <si>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</si>
  <si>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</si>
  <si>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</si>
  <si>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</si>
  <si>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</si>
  <si>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</si>
  <si>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</si>
  <si>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</si>
  <si>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</si>
  <si>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</si>
  <si>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</si>
  <si>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</si>
  <si>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</si>
  <si>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</si>
  <si>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</si>
  <si>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</si>
  <si>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</si>
  <si>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</si>
  <si>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</si>
  <si>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</si>
  <si>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</si>
  <si>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</si>
  <si>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</si>
  <si>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</si>
  <si>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</si>
  <si>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</si>
  <si>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</si>
  <si>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</si>
  <si>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</si>
  <si>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</si>
  <si>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</si>
  <si>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</si>
  <si>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12T/2020</t>
  </si>
  <si>
    <t>PNP 12T-20 (abr-20 a sep-20)</t>
  </si>
  <si>
    <t>ITD Enero 2021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</si>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</sst>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73" borderId="27" xfId="3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N7" sqref="N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4987.6611999999996</v>
      </c>
      <c r="E5" s="91">
        <f>ROUND(VLOOKUP($C5,Px!$B$13:$K$16,10,0),3)</f>
        <v>54.088000000000001</v>
      </c>
      <c r="F5" s="54"/>
      <c r="G5" s="7"/>
      <c r="H5" s="120">
        <f>COPELEC!I6/1000</f>
        <v>130.20427005501094</v>
      </c>
      <c r="I5" s="101">
        <f t="shared" ref="I5:I14" si="0">H5*E5*1000</f>
        <v>7042488.5587354321</v>
      </c>
      <c r="J5" s="102">
        <f t="shared" ref="J5:J14" si="1">G5*D5*1000</f>
        <v>0</v>
      </c>
      <c r="K5" s="105"/>
      <c r="L5" s="103">
        <f t="shared" ref="L5:L14" si="2">H5*F5*1000</f>
        <v>0</v>
      </c>
      <c r="N5" s="11" t="str">
        <f>"Active Energy: "&amp;TEXT(H17*1000,"###,###")&amp;" kWh"</f>
        <v>Active Energy: 493,511 kWh</v>
      </c>
      <c r="O5" s="12">
        <f>I17</f>
        <v>26811078.24459368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5185.5087000000003</v>
      </c>
      <c r="E6" s="92">
        <f>ROUND(VLOOKUP($C6,Px!$B$13:$K$16,10,0),3)</f>
        <v>55.201000000000001</v>
      </c>
      <c r="F6" s="55"/>
      <c r="G6" s="9"/>
      <c r="H6" s="121">
        <f>COPELEC!F6/1000</f>
        <v>5.3059378047512711</v>
      </c>
      <c r="I6" s="104">
        <f t="shared" si="0"/>
        <v>292893.07276007492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"&amp;TEXT(G17*1000,"#,###")&amp;" kW"</f>
        <v>Capacity: 1,008 kW</v>
      </c>
      <c r="O6" s="12">
        <f>J17</f>
        <v>5058566.8348485073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5563.2683999999999</v>
      </c>
      <c r="E7" s="92">
        <f>ROUND(VLOOKUP($C7,Px!$B$13:$K$16,10,0),3)</f>
        <v>58.633000000000003</v>
      </c>
      <c r="F7" s="55"/>
      <c r="G7" s="9"/>
      <c r="H7" s="121">
        <f>COPELEC!C6/1000</f>
        <v>6.1576979325681265</v>
      </c>
      <c r="I7" s="104">
        <f t="shared" si="0"/>
        <v>361044.30288026697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5609.2272999999996</v>
      </c>
      <c r="E8" s="92">
        <f>ROUND(VLOOKUP($C8,Px!$B$13:$K$16,10,0),3)</f>
        <v>59.606999999999999</v>
      </c>
      <c r="F8" s="55"/>
      <c r="G8" s="9"/>
      <c r="H8" s="121">
        <f>COPELEC!L6/1000</f>
        <v>0</v>
      </c>
      <c r="I8" s="104">
        <f t="shared" ref="I8:I12" si="3">H8*E8*1000</f>
        <v>0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4987.6611999999996</v>
      </c>
      <c r="E9" s="92">
        <f>ROUND(VLOOKUP($C9,Px!$B$13:$K$16,10,0),3)</f>
        <v>54.088000000000001</v>
      </c>
      <c r="F9" s="55"/>
      <c r="G9" s="9"/>
      <c r="H9" s="121">
        <f>COPELEC!J7/1000</f>
        <v>196.1693477642616</v>
      </c>
      <c r="I9" s="104">
        <f t="shared" si="3"/>
        <v>10610407.681873381</v>
      </c>
      <c r="J9" s="105">
        <f t="shared" si="4"/>
        <v>0</v>
      </c>
      <c r="K9" s="105"/>
      <c r="L9" s="106">
        <f t="shared" si="5"/>
        <v>0</v>
      </c>
      <c r="N9" s="13" t="s">
        <v>12</v>
      </c>
      <c r="O9" s="14">
        <f>SUM(O5:O8)</f>
        <v>31869645.079442188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5185.5087000000003</v>
      </c>
      <c r="E10" s="92">
        <f>ROUND(VLOOKUP($C10,Px!$B$13:$K$16,10,0),3)</f>
        <v>55.201000000000001</v>
      </c>
      <c r="F10" s="55"/>
      <c r="G10" s="9"/>
      <c r="H10" s="121">
        <f>COPELEC!G7/1000</f>
        <v>8.0170106543727684</v>
      </c>
      <c r="I10" s="104">
        <f t="shared" si="3"/>
        <v>442547.00513203116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5563.2683999999999</v>
      </c>
      <c r="E11" s="92">
        <f>ROUND(VLOOKUP($C11,Px!$B$13:$K$16,10,0),3)</f>
        <v>58.633000000000003</v>
      </c>
      <c r="F11" s="55"/>
      <c r="G11" s="9"/>
      <c r="H11" s="121">
        <f>COPELEC!D7/1000</f>
        <v>9.2847275785110188</v>
      </c>
      <c r="I11" s="104">
        <f t="shared" si="3"/>
        <v>544391.43211083661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5609.2272999999996</v>
      </c>
      <c r="E12" s="92">
        <f>ROUND(VLOOKUP($C12,Px!$B$13:$K$16,10,0),3)</f>
        <v>59.606999999999999</v>
      </c>
      <c r="F12" s="55"/>
      <c r="G12" s="9"/>
      <c r="H12" s="121">
        <f>COPELEC!M7/1000</f>
        <v>0</v>
      </c>
      <c r="I12" s="104">
        <f t="shared" si="3"/>
        <v>0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4987.6611999999996</v>
      </c>
      <c r="E13" s="92">
        <f>ROUND(VLOOKUP($C13,Px!$B$13:$K$16,10,0),3)</f>
        <v>54.088000000000001</v>
      </c>
      <c r="F13" s="55"/>
      <c r="G13" s="9">
        <f>COPELEC!V8/1000</f>
        <v>0.92631721435346814</v>
      </c>
      <c r="H13" s="121">
        <f>COPELEC!K8/1000</f>
        <v>127.19978678017226</v>
      </c>
      <c r="I13" s="104">
        <f t="shared" si="0"/>
        <v>6879982.0673659565</v>
      </c>
      <c r="J13" s="105">
        <f t="shared" si="1"/>
        <v>4620156.4289228758</v>
      </c>
      <c r="K13" s="124"/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5185.5087000000003</v>
      </c>
      <c r="E14" s="92">
        <f>ROUND(VLOOKUP($C14,Px!$B$13:$K$16,10,0),3)</f>
        <v>55.201000000000001</v>
      </c>
      <c r="F14" s="55"/>
      <c r="G14" s="9">
        <f>COPELEC!U8/1000</f>
        <v>3.7672069487658395E-2</v>
      </c>
      <c r="H14" s="121">
        <f>COPELEC!H8/1000</f>
        <v>5.1730434587060108</v>
      </c>
      <c r="I14" s="104">
        <f t="shared" si="0"/>
        <v>285557.17196403048</v>
      </c>
      <c r="J14" s="105">
        <f t="shared" si="1"/>
        <v>195348.84407525716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5563.2683999999999</v>
      </c>
      <c r="E15" s="92">
        <f>ROUND(VLOOKUP($C15,Px!$B$13:$K$16,10,0),3)</f>
        <v>58.633000000000003</v>
      </c>
      <c r="F15" s="55"/>
      <c r="G15" s="9">
        <f>COPELEC!T8/1000</f>
        <v>4.3690425191488948E-2</v>
      </c>
      <c r="H15" s="121">
        <f>COPELEC!E8/1000</f>
        <v>5.9994704649543955</v>
      </c>
      <c r="I15" s="104">
        <f>H15*E15*1000</f>
        <v>351766.95177167107</v>
      </c>
      <c r="J15" s="105">
        <f>G15*D15*1000</f>
        <v>243061.56185037439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5609.2272999999996</v>
      </c>
      <c r="E16" s="97">
        <f>ROUND(VLOOKUP($C16,Px!$B$13:$K$16,10,0),3)</f>
        <v>59.606999999999999</v>
      </c>
      <c r="F16" s="98"/>
      <c r="G16" s="94">
        <f>COPELEC!W8/1000</f>
        <v>0</v>
      </c>
      <c r="H16" s="122">
        <f>COPELEC!N8/1000</f>
        <v>0</v>
      </c>
      <c r="I16" s="99">
        <f>H16*E16*1000</f>
        <v>0</v>
      </c>
      <c r="J16" s="100">
        <f>G16*D16*1000</f>
        <v>0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1.0076797090326155</v>
      </c>
      <c r="H17" s="123">
        <f t="shared" ref="H17:K17" si="6">SUM(H5:H16)</f>
        <v>493.51129249330836</v>
      </c>
      <c r="I17" s="113">
        <f>SUM(I5:I16)</f>
        <v>26811078.24459368</v>
      </c>
      <c r="J17" s="113">
        <f>SUM(J5:J16)</f>
        <v>5058566.8348485073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D13" sqref="D13:D1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6157.6979325681268</v>
      </c>
      <c r="D6" s="70">
        <v>0</v>
      </c>
      <c r="E6" s="70">
        <v>0</v>
      </c>
      <c r="F6" s="70">
        <v>5305.937804751271</v>
      </c>
      <c r="G6" s="70">
        <v>0</v>
      </c>
      <c r="H6" s="70">
        <v>0</v>
      </c>
      <c r="I6" s="70">
        <v>130204.27005501093</v>
      </c>
      <c r="J6" s="70">
        <v>0</v>
      </c>
      <c r="K6" s="71">
        <v>0</v>
      </c>
      <c r="L6" s="70">
        <v>0</v>
      </c>
      <c r="M6" s="70">
        <v>0</v>
      </c>
      <c r="N6" s="71">
        <v>0</v>
      </c>
      <c r="O6" s="128">
        <f>SUM(C6:N6)</f>
        <v>141667.90579233033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9284.7275785110196</v>
      </c>
      <c r="E7" s="70">
        <v>0</v>
      </c>
      <c r="F7" s="70">
        <v>0</v>
      </c>
      <c r="G7" s="70">
        <v>8017.0106543727679</v>
      </c>
      <c r="H7" s="70">
        <v>0</v>
      </c>
      <c r="I7" s="70">
        <v>0</v>
      </c>
      <c r="J7" s="70">
        <v>196169.34776426159</v>
      </c>
      <c r="K7" s="71">
        <v>0</v>
      </c>
      <c r="L7" s="70">
        <v>0</v>
      </c>
      <c r="M7" s="70">
        <v>0</v>
      </c>
      <c r="N7" s="71">
        <v>0</v>
      </c>
      <c r="O7" s="128">
        <f t="shared" ref="O7:O8" si="0">SUM(C7:N7)</f>
        <v>213471.08599714539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5999.4704649543955</v>
      </c>
      <c r="F8" s="70">
        <v>0</v>
      </c>
      <c r="G8" s="70">
        <v>0</v>
      </c>
      <c r="H8" s="70">
        <v>5173.0434587060108</v>
      </c>
      <c r="I8" s="70">
        <v>0</v>
      </c>
      <c r="J8" s="70">
        <v>0</v>
      </c>
      <c r="K8" s="71">
        <v>127199.78678017226</v>
      </c>
      <c r="L8" s="70">
        <v>0</v>
      </c>
      <c r="M8" s="70">
        <v>0</v>
      </c>
      <c r="N8" s="71">
        <v>0</v>
      </c>
      <c r="O8" s="128">
        <f t="shared" si="0"/>
        <v>138372.30070383268</v>
      </c>
      <c r="P8" s="47">
        <v>1.1114242335145265E-3</v>
      </c>
      <c r="Q8" s="48">
        <v>9.6000423009667205E-4</v>
      </c>
      <c r="R8" s="48">
        <v>2.3834372490169529E-2</v>
      </c>
      <c r="S8" s="48">
        <v>0</v>
      </c>
      <c r="T8" s="49">
        <v>43.690425191488949</v>
      </c>
      <c r="U8" s="49">
        <v>37.672069487658398</v>
      </c>
      <c r="V8" s="49">
        <v>926.3172143534681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K20" sqref="K20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</row>
    <row r="6" spans="1:15" ht="13.8" x14ac:dyDescent="0.3">
      <c r="A6" s="23" t="s">
        <v>26</v>
      </c>
      <c r="B6" s="22"/>
      <c r="C6" s="22">
        <v>801.49</v>
      </c>
      <c r="D6" s="24" t="s">
        <v>81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</row>
    <row r="7" spans="1:15" ht="13.8" x14ac:dyDescent="0.3">
      <c r="A7" s="23" t="s">
        <v>27</v>
      </c>
      <c r="B7" s="22"/>
      <c r="C7" s="111">
        <v>257.74599999999998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80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0.89970000000000006</v>
      </c>
      <c r="E13" s="61">
        <v>0.88990000000000002</v>
      </c>
      <c r="F13" s="62">
        <f>($C$3*$C$7/$C$8-$L$5)*D13</f>
        <v>74.544409734423866</v>
      </c>
      <c r="G13" s="62">
        <f>$C$4*$C$7/$C$8*E13</f>
        <v>8.0870441816534644</v>
      </c>
      <c r="H13" s="62">
        <f>F13*$C$6/1000</f>
        <v>59.746598958043379</v>
      </c>
      <c r="I13" s="82">
        <f>G13*$C$6</f>
        <v>6481.6850411534351</v>
      </c>
      <c r="J13" s="112">
        <f>I13*$L$7</f>
        <v>4987.6612415843383</v>
      </c>
      <c r="K13" s="63">
        <f>H13*$L$6</f>
        <v>54.088325798778136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0.91820000000000002</v>
      </c>
      <c r="E14" s="61">
        <v>0.92520000000000002</v>
      </c>
      <c r="F14" s="62">
        <f t="shared" ref="F14:F16" si="0">($C$3*$C$7/$C$8-$L$5)*D14</f>
        <v>76.077222427640308</v>
      </c>
      <c r="G14" s="62">
        <f t="shared" ref="G14:G15" si="1">$C$4*$C$7/$C$8*E14</f>
        <v>8.4078360229978486</v>
      </c>
      <c r="H14" s="62">
        <f t="shared" ref="H14:H15" si="2">F14*$C$6/1000</f>
        <v>60.975133003529429</v>
      </c>
      <c r="I14" s="82">
        <f t="shared" ref="I14:I15" si="3">G14*$C$6</f>
        <v>6738.796494072546</v>
      </c>
      <c r="J14" s="112">
        <f t="shared" ref="J14:J16" si="4">I14*$L$7</f>
        <v>5185.508687171402</v>
      </c>
      <c r="K14" s="63">
        <f t="shared" ref="K14:K16" si="5">H14*$L$6</f>
        <v>55.200512113413453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0.97529999999999994</v>
      </c>
      <c r="E15" s="61">
        <v>0.99260000000000004</v>
      </c>
      <c r="F15" s="62">
        <f t="shared" si="0"/>
        <v>80.808228091567841</v>
      </c>
      <c r="G15" s="62">
        <f t="shared" si="1"/>
        <v>9.0203394254514322</v>
      </c>
      <c r="H15" s="62">
        <f t="shared" si="2"/>
        <v>64.766986733110713</v>
      </c>
      <c r="I15" s="82">
        <f t="shared" si="3"/>
        <v>7229.7118461050686</v>
      </c>
      <c r="J15" s="112">
        <f t="shared" si="4"/>
        <v>5563.2683991421682</v>
      </c>
      <c r="K15" s="63">
        <f t="shared" si="5"/>
        <v>58.633260143990569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0.99150000000000005</v>
      </c>
      <c r="E16" s="61">
        <v>1.0007999999999999</v>
      </c>
      <c r="F16" s="62">
        <f t="shared" si="0"/>
        <v>82.150474882384415</v>
      </c>
      <c r="G16" s="62">
        <f>$C$4*$C$7/$C$8*E16</f>
        <v>9.0948576435540929</v>
      </c>
      <c r="H16" s="62">
        <f>F16*$C$6/1000</f>
        <v>65.842784113482281</v>
      </c>
      <c r="I16" s="82">
        <f>G16*$C$6</f>
        <v>7289.4374527321697</v>
      </c>
      <c r="J16" s="112">
        <f t="shared" si="4"/>
        <v>5609.2272958507765</v>
      </c>
      <c r="K16" s="63">
        <f t="shared" si="5"/>
        <v>59.607174646536087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2021-07-12T17:28:06Z</dcterms:modified>
</cp:coreProperties>
</file>