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8-Ago\"/>
    </mc:Choice>
  </mc:AlternateContent>
  <xr:revisionPtr revIDLastSave="0" documentId="13_ncr:1_{B495BD8D-BC0D-4F8E-813A-321A47A544B7}" xr6:coauthVersionLast="47" xr6:coauthVersionMax="47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ENEL DX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2" l="1"/>
  <c r="G14" i="2"/>
  <c r="G15" i="2"/>
  <c r="G16" i="2"/>
  <c r="G17" i="2"/>
  <c r="G18" i="2"/>
  <c r="G19" i="2"/>
  <c r="H19" i="2"/>
  <c r="H18" i="2"/>
  <c r="H17" i="2"/>
  <c r="H16" i="2"/>
  <c r="H15" i="2"/>
  <c r="H14" i="2"/>
  <c r="H13" i="2"/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25" i="1"/>
  <c r="G24" i="1"/>
  <c r="G23" i="1"/>
  <c r="G22" i="1"/>
  <c r="G21" i="1"/>
  <c r="G20" i="1"/>
  <c r="G19" i="1"/>
  <c r="F14" i="2"/>
  <c r="F15" i="2"/>
  <c r="F16" i="2"/>
  <c r="F17" i="2"/>
  <c r="K17" i="2" s="1"/>
  <c r="F18" i="2"/>
  <c r="K18" i="2" s="1"/>
  <c r="F19" i="2"/>
  <c r="K19" i="2" s="1"/>
  <c r="F13" i="2"/>
  <c r="I17" i="2"/>
  <c r="J17" i="2" s="1"/>
  <c r="D23" i="1" s="1"/>
  <c r="I18" i="2"/>
  <c r="J18" i="2" s="1"/>
  <c r="D17" i="1" s="1"/>
  <c r="J17" i="1" s="1"/>
  <c r="I19" i="2"/>
  <c r="J19" i="2" s="1"/>
  <c r="D11" i="1" s="1"/>
  <c r="J11" i="1" s="1"/>
  <c r="R8" i="3"/>
  <c r="R7" i="3"/>
  <c r="R6" i="3"/>
  <c r="J8" i="3"/>
  <c r="J7" i="3"/>
  <c r="J6" i="3"/>
  <c r="D18" i="1" l="1"/>
  <c r="J18" i="1" s="1"/>
  <c r="D10" i="1"/>
  <c r="J10" i="1" s="1"/>
  <c r="J23" i="1"/>
  <c r="E17" i="1"/>
  <c r="I17" i="1" s="1"/>
  <c r="E24" i="1"/>
  <c r="I24" i="1" s="1"/>
  <c r="E10" i="1"/>
  <c r="I10" i="1" s="1"/>
  <c r="D16" i="1"/>
  <c r="J16" i="1" s="1"/>
  <c r="D24" i="1"/>
  <c r="J24" i="1" s="1"/>
  <c r="E9" i="1"/>
  <c r="I9" i="1" s="1"/>
  <c r="E16" i="1"/>
  <c r="I16" i="1" s="1"/>
  <c r="E23" i="1"/>
  <c r="I23" i="1" s="1"/>
  <c r="D9" i="1"/>
  <c r="J9" i="1" s="1"/>
  <c r="D25" i="1"/>
  <c r="J25" i="1" s="1"/>
  <c r="E25" i="1"/>
  <c r="I25" i="1" s="1"/>
  <c r="E11" i="1"/>
  <c r="I11" i="1" s="1"/>
  <c r="E18" i="1"/>
  <c r="I18" i="1" s="1"/>
  <c r="K26" i="1" l="1"/>
  <c r="O7" i="1" s="1"/>
  <c r="K13" i="2" l="1"/>
  <c r="E5" i="1" l="1"/>
  <c r="I5" i="1" s="1"/>
  <c r="E12" i="1"/>
  <c r="I12" i="1" s="1"/>
  <c r="E19" i="1"/>
  <c r="I19" i="1" s="1"/>
  <c r="I16" i="2"/>
  <c r="J16" i="2" s="1"/>
  <c r="K16" i="2"/>
  <c r="D15" i="1" l="1"/>
  <c r="J15" i="1" s="1"/>
  <c r="D22" i="1"/>
  <c r="J22" i="1" s="1"/>
  <c r="D8" i="1"/>
  <c r="J8" i="1" s="1"/>
  <c r="E8" i="1"/>
  <c r="I8" i="1" s="1"/>
  <c r="E15" i="1"/>
  <c r="I15" i="1" s="1"/>
  <c r="E22" i="1"/>
  <c r="I22" i="1" s="1"/>
  <c r="K14" i="2"/>
  <c r="K15" i="2"/>
  <c r="E14" i="1" l="1"/>
  <c r="I14" i="1" s="1"/>
  <c r="E7" i="1"/>
  <c r="I7" i="1" s="1"/>
  <c r="E21" i="1"/>
  <c r="I21" i="1" s="1"/>
  <c r="E13" i="1"/>
  <c r="I13" i="1" s="1"/>
  <c r="E20" i="1"/>
  <c r="I20" i="1" s="1"/>
  <c r="E6" i="1"/>
  <c r="I6" i="1" s="1"/>
  <c r="I14" i="2"/>
  <c r="J14" i="2" s="1"/>
  <c r="I15" i="2"/>
  <c r="J15" i="2" s="1"/>
  <c r="D7" i="1" l="1"/>
  <c r="J7" i="1" s="1"/>
  <c r="D14" i="1"/>
  <c r="J14" i="1" s="1"/>
  <c r="D21" i="1"/>
  <c r="J21" i="1" s="1"/>
  <c r="D13" i="1"/>
  <c r="J13" i="1" s="1"/>
  <c r="D20" i="1"/>
  <c r="J20" i="1" s="1"/>
  <c r="D6" i="1"/>
  <c r="J6" i="1" s="1"/>
  <c r="I13" i="2"/>
  <c r="J13" i="2" s="1"/>
  <c r="D19" i="1" l="1"/>
  <c r="J19" i="1" s="1"/>
  <c r="D5" i="1"/>
  <c r="J5" i="1" s="1"/>
  <c r="D12" i="1"/>
  <c r="J12" i="1" s="1"/>
  <c r="G26" i="1"/>
  <c r="N6" i="1" s="1"/>
  <c r="H26" i="1"/>
  <c r="N5" i="1" s="1"/>
  <c r="J26" i="1" l="1"/>
  <c r="O6" i="1" s="1"/>
  <c r="I26" i="1"/>
  <c r="O5" i="1" s="1"/>
  <c r="L26" i="1"/>
  <c r="O8" i="1" s="1"/>
  <c r="O9" i="1" l="1"/>
</calcChain>
</file>

<file path=xl/sharedStrings.xml><?xml version="1.0" encoding="utf-8"?>
<sst xmlns="http://schemas.openxmlformats.org/spreadsheetml/2006/main" count="170" uniqueCount="74">
  <si>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</si>
  <si>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</si>
  <si>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</si>
  <si>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</si>
  <si>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</si>
  <si>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</si>
  <si>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</si>
  <si>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</si>
  <si>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</si>
  <si>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</si>
  <si>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</si>
  <si>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</si>
  <si>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</si>
  <si>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</si>
  <si>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</si>
  <si>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</si>
  <si>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</si>
  <si>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</si>
  <si>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</si>
  <si>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</si>
  <si>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</si>
  <si>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</si>
  <si>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</si>
  <si>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</si>
  <si>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</si>
  <si>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</si>
  <si>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</si>
  <si>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</si>
  <si>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</si>
  <si>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</si>
  <si>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</si>
  <si>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</si>
  <si>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</si>
  <si>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</si>
  <si>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</si>
  <si>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</si>
  <si>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</si>
  <si>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</si>
  <si>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</si>
  <si>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</si>
  <si>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</si>
  <si>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</si>
  <si>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</si>
  <si>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</si>
  <si>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</si>
  <si>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</si>
  <si>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</si>
  <si>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</si>
  <si>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</si>
  <si>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</si>
  <si>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</si>
  <si>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</si>
  <si>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</si>
  <si>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</si>
  <si>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</si>
  <si>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</si>
  <si>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</si>
  <si>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</si>
  <si>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</si>
  <si>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</si>
  <si>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</si>
  <si>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</si>
  <si>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</si>
  <si>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</si>
  <si>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</si>
  <si>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</si>
  <si>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</si>
  <si>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ENEL Dx</t>
  </si>
  <si>
    <t>Facturación con Factor de Ajuste</t>
  </si>
  <si>
    <t>Energía kWh</t>
  </si>
  <si>
    <t xml:space="preserve">PNP 19T-21 </t>
  </si>
  <si>
    <t xml:space="preserve"> ITD Enero 2021</t>
  </si>
  <si>
    <t>12T/2020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</si>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</sst>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#,##0.0000"/>
    <numFmt numFmtId="167" formatCode="#,##0.000"/>
    <numFmt numFmtId="168" formatCode="0.000000"/>
  </numFmts>
  <fonts count="13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1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2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9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5" fillId="0" borderId="0" xfId="0" applyNumberFormat="1" applyFont="1"/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0" fillId="9" borderId="7" xfId="0" applyNumberFormat="1" applyFill="1" applyBorder="1" applyAlignment="1">
      <alignment horizontal="center" vertical="center"/>
    </xf>
    <xf numFmtId="3" fontId="1" fillId="10" borderId="19" xfId="0" applyNumberFormat="1" applyFont="1" applyFill="1" applyBorder="1" applyAlignment="1">
      <alignment horizontal="center" vertical="center"/>
    </xf>
    <xf numFmtId="3" fontId="1" fillId="10" borderId="16" xfId="0" applyNumberFormat="1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167" fontId="4" fillId="0" borderId="10" xfId="0" applyNumberFormat="1" applyFont="1" applyBorder="1" applyAlignment="1">
      <alignment horizontal="center"/>
    </xf>
    <xf numFmtId="167" fontId="0" fillId="0" borderId="0" xfId="0" applyNumberFormat="1"/>
    <xf numFmtId="0" fontId="0" fillId="0" borderId="1" xfId="0" applyFill="1" applyBorder="1"/>
    <xf numFmtId="167" fontId="0" fillId="0" borderId="4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41"/>
  <sheetViews>
    <sheetView tabSelected="1" topLeftCell="C1" zoomScale="90" zoomScaleNormal="90" workbookViewId="0">
      <selection activeCell="F36" sqref="F3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2" t="s">
        <v>17</v>
      </c>
      <c r="J2" s="113"/>
      <c r="K2" s="113"/>
      <c r="L2" s="114"/>
    </row>
    <row r="3" spans="1:15" x14ac:dyDescent="0.25">
      <c r="A3" s="115" t="s">
        <v>15</v>
      </c>
      <c r="B3" s="118" t="s">
        <v>0</v>
      </c>
      <c r="C3" s="120" t="s">
        <v>1</v>
      </c>
      <c r="D3" s="59" t="s">
        <v>2</v>
      </c>
      <c r="E3" s="57" t="s">
        <v>3</v>
      </c>
      <c r="F3" s="31" t="s">
        <v>40</v>
      </c>
      <c r="G3" s="1" t="s">
        <v>4</v>
      </c>
      <c r="H3" s="2" t="s">
        <v>5</v>
      </c>
      <c r="I3" s="51" t="s">
        <v>38</v>
      </c>
      <c r="J3" s="50" t="s">
        <v>4</v>
      </c>
      <c r="K3" s="50" t="s">
        <v>37</v>
      </c>
      <c r="L3" s="39" t="s">
        <v>40</v>
      </c>
      <c r="N3" s="117" t="s">
        <v>68</v>
      </c>
      <c r="O3" s="117"/>
    </row>
    <row r="4" spans="1:15" ht="14.4" x14ac:dyDescent="0.3">
      <c r="A4" s="116"/>
      <c r="B4" s="119"/>
      <c r="C4" s="121"/>
      <c r="D4" s="60" t="s">
        <v>6</v>
      </c>
      <c r="E4" s="58" t="s">
        <v>7</v>
      </c>
      <c r="F4" s="32" t="s">
        <v>47</v>
      </c>
      <c r="G4" s="3" t="s">
        <v>51</v>
      </c>
      <c r="H4" s="4" t="s">
        <v>8</v>
      </c>
      <c r="I4" s="63" t="s">
        <v>14</v>
      </c>
      <c r="J4" s="61" t="s">
        <v>14</v>
      </c>
      <c r="K4" s="61" t="s">
        <v>14</v>
      </c>
      <c r="L4" s="62" t="s">
        <v>14</v>
      </c>
      <c r="N4" s="10" t="s">
        <v>58</v>
      </c>
      <c r="O4" s="10" t="s">
        <v>59</v>
      </c>
    </row>
    <row r="5" spans="1:15" x14ac:dyDescent="0.25">
      <c r="A5" t="s">
        <v>59</v>
      </c>
      <c r="B5" s="5" t="s">
        <v>9</v>
      </c>
      <c r="C5" s="6" t="s">
        <v>16</v>
      </c>
      <c r="D5" s="109">
        <f>ROUND(VLOOKUP($C5,Px!$B$13:$K$19,9,0),4)</f>
        <v>5563.2683999999999</v>
      </c>
      <c r="E5" s="103">
        <f>VLOOKUP(C5,Px!$B$13:$K$19,10,0)</f>
        <v>58.893999999999998</v>
      </c>
      <c r="F5" s="40"/>
      <c r="G5" s="7"/>
      <c r="H5" s="81">
        <f>ROUND('ENEL DX'!$C$6,0)</f>
        <v>855358</v>
      </c>
      <c r="I5" s="79">
        <f>ROUND(H5*E5,0)</f>
        <v>50375454</v>
      </c>
      <c r="J5" s="80">
        <f>ROUND(G5*D5,0)</f>
        <v>0</v>
      </c>
      <c r="K5" s="83">
        <v>26.110499874156076</v>
      </c>
      <c r="L5" s="81"/>
      <c r="N5" s="11" t="str">
        <f>"Active Energy: "&amp;TEXT(H26," #,###,###")&amp;" kWh"</f>
        <v>Active Energy:  13,778,594 kWh</v>
      </c>
      <c r="O5" s="12">
        <f>I26</f>
        <v>823098656</v>
      </c>
    </row>
    <row r="6" spans="1:15" x14ac:dyDescent="0.25">
      <c r="A6" t="s">
        <v>59</v>
      </c>
      <c r="B6" t="s">
        <v>9</v>
      </c>
      <c r="C6" s="8" t="s">
        <v>60</v>
      </c>
      <c r="D6" s="110">
        <f>ROUND(VLOOKUP($C6,Px!$B$13:$K$19,9,0),4)</f>
        <v>5663.5933000000005</v>
      </c>
      <c r="E6" s="104">
        <f>VLOOKUP(C6,Px!$B$13:$K$19,10,0)</f>
        <v>60.101999999999997</v>
      </c>
      <c r="F6" s="41"/>
      <c r="G6" s="9"/>
      <c r="H6" s="84">
        <f>ROUND('ENEL DX'!$D$6,0)</f>
        <v>781357</v>
      </c>
      <c r="I6" s="82">
        <f t="shared" ref="I6:I25" si="0">ROUND(H6*E6,0)</f>
        <v>46961118</v>
      </c>
      <c r="J6" s="83">
        <f t="shared" ref="J6:J25" si="1">ROUND(G6*D6,0)</f>
        <v>0</v>
      </c>
      <c r="K6" s="83">
        <v>0</v>
      </c>
      <c r="L6" s="84"/>
      <c r="N6" s="11" t="str">
        <f>"Capacity: "&amp;TEXT(G26,"#,###")&amp;" kW"</f>
        <v>Capacity: 7,110 kW</v>
      </c>
      <c r="O6" s="12">
        <f>J26</f>
        <v>40050568</v>
      </c>
    </row>
    <row r="7" spans="1:15" x14ac:dyDescent="0.25">
      <c r="A7" t="s">
        <v>59</v>
      </c>
      <c r="B7" t="s">
        <v>9</v>
      </c>
      <c r="C7" s="108" t="s">
        <v>61</v>
      </c>
      <c r="D7" s="111">
        <f>ROUND(VLOOKUP($C7,Px!$B$13:$K$19,9,0),4)</f>
        <v>5664.7142999999996</v>
      </c>
      <c r="E7" s="104">
        <f>VLOOKUP(C7,Px!$B$13:$K$19,10,0)</f>
        <v>59.74</v>
      </c>
      <c r="F7" s="41"/>
      <c r="G7" s="9"/>
      <c r="H7" s="84">
        <f>ROUND('ENEL DX'!$E$6,0)</f>
        <v>1677254</v>
      </c>
      <c r="I7" s="82">
        <f t="shared" si="0"/>
        <v>100199154</v>
      </c>
      <c r="J7" s="83">
        <f t="shared" si="1"/>
        <v>0</v>
      </c>
      <c r="K7" s="83">
        <v>0</v>
      </c>
      <c r="L7" s="84"/>
      <c r="N7" s="11" t="s">
        <v>13</v>
      </c>
      <c r="O7" s="12">
        <f>K26</f>
        <v>76.925863716355025</v>
      </c>
    </row>
    <row r="8" spans="1:15" x14ac:dyDescent="0.25">
      <c r="A8" t="s">
        <v>59</v>
      </c>
      <c r="B8" t="s">
        <v>9</v>
      </c>
      <c r="C8" s="108" t="s">
        <v>62</v>
      </c>
      <c r="D8" s="111">
        <f>ROUND(VLOOKUP($C8,Px!$B$13:$K$19,9,0),4)</f>
        <v>5749.3459000000003</v>
      </c>
      <c r="E8" s="104">
        <f>VLOOKUP(C8,Px!$B$13:$K$19,10,0)</f>
        <v>63.228999999999999</v>
      </c>
      <c r="F8" s="41"/>
      <c r="G8" s="9"/>
      <c r="H8" s="84">
        <f>ROUND('ENEL DX'!$F$6,0)</f>
        <v>1900</v>
      </c>
      <c r="I8" s="82">
        <f t="shared" si="0"/>
        <v>120135</v>
      </c>
      <c r="J8" s="83">
        <f t="shared" si="1"/>
        <v>0</v>
      </c>
      <c r="K8" s="83">
        <v>0</v>
      </c>
      <c r="L8" s="84"/>
      <c r="N8" s="11" t="s">
        <v>40</v>
      </c>
      <c r="O8" s="12">
        <f>L26</f>
        <v>0</v>
      </c>
    </row>
    <row r="9" spans="1:15" x14ac:dyDescent="0.25">
      <c r="A9" t="s">
        <v>59</v>
      </c>
      <c r="B9" t="s">
        <v>9</v>
      </c>
      <c r="C9" s="108" t="s">
        <v>63</v>
      </c>
      <c r="D9" s="111">
        <f>ROUND(VLOOKUP($C9,Px!$B$13:$K$19,9,0),4)</f>
        <v>5527.9584999999997</v>
      </c>
      <c r="E9" s="104">
        <f>VLOOKUP(C9,Px!$B$13:$K$19,10,0)</f>
        <v>57.094000000000001</v>
      </c>
      <c r="F9" s="41"/>
      <c r="G9" s="9"/>
      <c r="H9" s="84">
        <f>ROUND('ENEL DX'!$G$6,0)</f>
        <v>816</v>
      </c>
      <c r="I9" s="82">
        <f t="shared" si="0"/>
        <v>46589</v>
      </c>
      <c r="J9" s="83">
        <f t="shared" si="1"/>
        <v>0</v>
      </c>
      <c r="K9" s="83">
        <v>0</v>
      </c>
      <c r="L9" s="84"/>
      <c r="N9" s="13" t="s">
        <v>12</v>
      </c>
      <c r="O9" s="14">
        <f>SUM(O5:O8)</f>
        <v>863149300.92586374</v>
      </c>
    </row>
    <row r="10" spans="1:15" x14ac:dyDescent="0.25">
      <c r="A10" t="s">
        <v>59</v>
      </c>
      <c r="B10" t="s">
        <v>9</v>
      </c>
      <c r="C10" s="108" t="s">
        <v>64</v>
      </c>
      <c r="D10" s="111">
        <f>ROUND(VLOOKUP($C10,Px!$B$13:$K$19,9,0),4)</f>
        <v>5604.7434999999996</v>
      </c>
      <c r="E10" s="104">
        <f>VLOOKUP(C10,Px!$B$13:$K$19,10,0)</f>
        <v>60.386000000000003</v>
      </c>
      <c r="F10" s="41"/>
      <c r="G10" s="9"/>
      <c r="H10" s="84">
        <f>ROUND('ENEL DX'!$H$6,0)</f>
        <v>649454</v>
      </c>
      <c r="I10" s="82">
        <f t="shared" si="0"/>
        <v>39217929</v>
      </c>
      <c r="J10" s="83">
        <f t="shared" si="1"/>
        <v>0</v>
      </c>
      <c r="K10" s="83">
        <v>0</v>
      </c>
      <c r="L10" s="84"/>
    </row>
    <row r="11" spans="1:15" x14ac:dyDescent="0.25">
      <c r="A11" t="s">
        <v>59</v>
      </c>
      <c r="B11" t="s">
        <v>9</v>
      </c>
      <c r="C11" s="8" t="s">
        <v>65</v>
      </c>
      <c r="D11" s="110">
        <f>ROUND(VLOOKUP($C11,Px!$B$13:$K$19,9,0),4)</f>
        <v>5616.5135</v>
      </c>
      <c r="E11" s="104">
        <f>VLOOKUP(C11,Px!$B$13:$K$19,10,0)</f>
        <v>61.316000000000003</v>
      </c>
      <c r="F11" s="41"/>
      <c r="G11" s="9"/>
      <c r="H11" s="84">
        <f>ROUND('ENEL DX'!$I$6,0)</f>
        <v>8531</v>
      </c>
      <c r="I11" s="82">
        <f t="shared" si="0"/>
        <v>523087</v>
      </c>
      <c r="J11" s="83">
        <f t="shared" si="1"/>
        <v>0</v>
      </c>
      <c r="K11" s="83">
        <v>0</v>
      </c>
      <c r="L11" s="84"/>
    </row>
    <row r="12" spans="1:15" x14ac:dyDescent="0.25">
      <c r="A12" t="s">
        <v>59</v>
      </c>
      <c r="B12" t="s">
        <v>10</v>
      </c>
      <c r="C12" s="8" t="s">
        <v>16</v>
      </c>
      <c r="D12" s="16">
        <f>ROUND(VLOOKUP($C12,Px!$B$13:$K$19,9,0),4)</f>
        <v>5563.2683999999999</v>
      </c>
      <c r="E12" s="104">
        <f>VLOOKUP(C12,Px!$B$13:$K$19,10,0)</f>
        <v>58.893999999999998</v>
      </c>
      <c r="F12" s="41"/>
      <c r="G12" s="9"/>
      <c r="H12" s="84">
        <f>ROUND('ENEL DX'!$C$7,0)</f>
        <v>1336136</v>
      </c>
      <c r="I12" s="82">
        <f t="shared" si="0"/>
        <v>78690394</v>
      </c>
      <c r="J12" s="83">
        <f t="shared" si="1"/>
        <v>0</v>
      </c>
      <c r="K12" s="83">
        <v>31.211044979243582</v>
      </c>
      <c r="L12" s="84"/>
      <c r="O12" s="86"/>
    </row>
    <row r="13" spans="1:15" x14ac:dyDescent="0.25">
      <c r="A13" t="s">
        <v>59</v>
      </c>
      <c r="B13" t="s">
        <v>10</v>
      </c>
      <c r="C13" s="8" t="s">
        <v>60</v>
      </c>
      <c r="D13" s="16">
        <f>ROUND(VLOOKUP($C13,Px!$B$13:$K$19,9,0),4)</f>
        <v>5663.5933000000005</v>
      </c>
      <c r="E13" s="104">
        <f>VLOOKUP(C13,Px!$B$13:$K$19,10,0)</f>
        <v>60.101999999999997</v>
      </c>
      <c r="F13" s="41"/>
      <c r="G13" s="9"/>
      <c r="H13" s="84">
        <f>ROUND('ENEL DX'!$D$7,0)</f>
        <v>1216965</v>
      </c>
      <c r="I13" s="82">
        <f t="shared" si="0"/>
        <v>73142030</v>
      </c>
      <c r="J13" s="83">
        <f t="shared" si="1"/>
        <v>0</v>
      </c>
      <c r="K13" s="83">
        <v>0</v>
      </c>
      <c r="L13" s="84"/>
    </row>
    <row r="14" spans="1:15" x14ac:dyDescent="0.25">
      <c r="A14" t="s">
        <v>59</v>
      </c>
      <c r="B14" t="s">
        <v>10</v>
      </c>
      <c r="C14" s="8" t="s">
        <v>61</v>
      </c>
      <c r="D14" s="16">
        <f>ROUND(VLOOKUP($C14,Px!$B$13:$K$19,9,0),4)</f>
        <v>5664.7142999999996</v>
      </c>
      <c r="E14" s="104">
        <f>VLOOKUP(C14,Px!$B$13:$K$19,10,0)</f>
        <v>59.74</v>
      </c>
      <c r="F14" s="41"/>
      <c r="G14" s="9"/>
      <c r="H14" s="84">
        <f>ROUND('ENEL DX'!$E$7,0)</f>
        <v>2594833</v>
      </c>
      <c r="I14" s="82">
        <f t="shared" si="0"/>
        <v>155015323</v>
      </c>
      <c r="J14" s="83">
        <f t="shared" si="1"/>
        <v>0</v>
      </c>
      <c r="K14" s="83">
        <v>0</v>
      </c>
      <c r="L14" s="84"/>
    </row>
    <row r="15" spans="1:15" x14ac:dyDescent="0.25">
      <c r="A15" t="s">
        <v>59</v>
      </c>
      <c r="B15" t="s">
        <v>10</v>
      </c>
      <c r="C15" s="8" t="s">
        <v>62</v>
      </c>
      <c r="D15" s="16">
        <f>ROUND(VLOOKUP($C15,Px!$B$13:$K$19,9,0),4)</f>
        <v>5749.3459000000003</v>
      </c>
      <c r="E15" s="104">
        <f>VLOOKUP(C15,Px!$B$13:$K$19,10,0)</f>
        <v>63.228999999999999</v>
      </c>
      <c r="F15" s="41"/>
      <c r="G15" s="9"/>
      <c r="H15" s="84">
        <f>ROUND('ENEL DX'!$F$7,0)</f>
        <v>2264</v>
      </c>
      <c r="I15" s="82">
        <f t="shared" si="0"/>
        <v>143150</v>
      </c>
      <c r="J15" s="83">
        <f t="shared" si="1"/>
        <v>0</v>
      </c>
      <c r="K15" s="83">
        <v>0</v>
      </c>
      <c r="L15" s="84"/>
    </row>
    <row r="16" spans="1:15" x14ac:dyDescent="0.25">
      <c r="A16" t="s">
        <v>59</v>
      </c>
      <c r="B16" t="s">
        <v>10</v>
      </c>
      <c r="C16" s="8" t="s">
        <v>63</v>
      </c>
      <c r="D16" s="16">
        <f>ROUND(VLOOKUP($C16,Px!$B$13:$K$19,9,0),4)</f>
        <v>5527.9584999999997</v>
      </c>
      <c r="E16" s="104">
        <f>VLOOKUP(C16,Px!$B$13:$K$19,10,0)</f>
        <v>57.094000000000001</v>
      </c>
      <c r="F16" s="41"/>
      <c r="G16" s="9"/>
      <c r="H16" s="84">
        <f>ROUND('ENEL DX'!$G$7,0)</f>
        <v>979</v>
      </c>
      <c r="I16" s="82">
        <f t="shared" si="0"/>
        <v>55895</v>
      </c>
      <c r="J16" s="83">
        <f t="shared" si="1"/>
        <v>0</v>
      </c>
      <c r="K16" s="83">
        <v>0</v>
      </c>
      <c r="L16" s="84"/>
    </row>
    <row r="17" spans="1:13" x14ac:dyDescent="0.25">
      <c r="A17" t="s">
        <v>59</v>
      </c>
      <c r="B17" t="s">
        <v>10</v>
      </c>
      <c r="C17" s="8" t="s">
        <v>64</v>
      </c>
      <c r="D17" s="16">
        <f>ROUND(VLOOKUP($C17,Px!$B$13:$K$19,9,0),4)</f>
        <v>5604.7434999999996</v>
      </c>
      <c r="E17" s="104">
        <f>VLOOKUP(C17,Px!$B$13:$K$19,10,0)</f>
        <v>60.386000000000003</v>
      </c>
      <c r="F17" s="41"/>
      <c r="G17" s="9"/>
      <c r="H17" s="84">
        <f>ROUND('ENEL DX'!$H$7,0)</f>
        <v>1011652</v>
      </c>
      <c r="I17" s="82">
        <f t="shared" si="0"/>
        <v>61089618</v>
      </c>
      <c r="J17" s="83">
        <f t="shared" si="1"/>
        <v>0</v>
      </c>
      <c r="K17" s="83">
        <v>0</v>
      </c>
      <c r="L17" s="84"/>
    </row>
    <row r="18" spans="1:13" x14ac:dyDescent="0.25">
      <c r="A18" t="s">
        <v>59</v>
      </c>
      <c r="B18" t="s">
        <v>10</v>
      </c>
      <c r="C18" s="8" t="s">
        <v>65</v>
      </c>
      <c r="D18" s="16">
        <f>ROUND(VLOOKUP($C18,Px!$B$13:$K$19,9,0),4)</f>
        <v>5616.5135</v>
      </c>
      <c r="E18" s="104">
        <f>VLOOKUP(C18,Px!$B$13:$K$19,10,0)</f>
        <v>61.316000000000003</v>
      </c>
      <c r="F18" s="41"/>
      <c r="G18" s="9"/>
      <c r="H18" s="84">
        <f>ROUND('ENEL DX'!$I$7,0)</f>
        <v>13195</v>
      </c>
      <c r="I18" s="82">
        <f t="shared" si="0"/>
        <v>809065</v>
      </c>
      <c r="J18" s="83">
        <f t="shared" si="1"/>
        <v>0</v>
      </c>
      <c r="K18" s="83">
        <v>0</v>
      </c>
      <c r="L18" s="84"/>
    </row>
    <row r="19" spans="1:13" x14ac:dyDescent="0.25">
      <c r="A19" t="s">
        <v>59</v>
      </c>
      <c r="B19" t="s">
        <v>11</v>
      </c>
      <c r="C19" s="8" t="s">
        <v>16</v>
      </c>
      <c r="D19" s="16">
        <f>ROUND(VLOOKUP($C19,Px!$B$13:$K$19,9,0),4)</f>
        <v>5563.2683999999999</v>
      </c>
      <c r="E19" s="104">
        <f>VLOOKUP(C19,Px!$B$13:$K$19,10,0)</f>
        <v>58.893999999999998</v>
      </c>
      <c r="F19" s="41"/>
      <c r="G19" s="101">
        <f>'ENEL DX'!K8</f>
        <v>1537</v>
      </c>
      <c r="H19" s="84">
        <f>ROUND('ENEL DX'!$C$8,0)</f>
        <v>784104</v>
      </c>
      <c r="I19" s="82">
        <f t="shared" si="0"/>
        <v>46179021</v>
      </c>
      <c r="J19" s="83">
        <f t="shared" si="1"/>
        <v>8550744</v>
      </c>
      <c r="K19" s="83">
        <v>19.604318862955367</v>
      </c>
      <c r="L19" s="84"/>
    </row>
    <row r="20" spans="1:13" x14ac:dyDescent="0.25">
      <c r="A20" t="s">
        <v>59</v>
      </c>
      <c r="B20" t="s">
        <v>11</v>
      </c>
      <c r="C20" s="8" t="s">
        <v>60</v>
      </c>
      <c r="D20" s="16">
        <f>ROUND(VLOOKUP($C20,Px!$B$13:$K$19,9,0),4)</f>
        <v>5663.5933000000005</v>
      </c>
      <c r="E20" s="104">
        <f>VLOOKUP(C20,Px!$B$13:$K$19,10,0)</f>
        <v>60.101999999999997</v>
      </c>
      <c r="F20" s="41"/>
      <c r="G20" s="101">
        <f>'ENEL DX'!L8</f>
        <v>1388</v>
      </c>
      <c r="H20" s="84">
        <f>ROUND('ENEL DX'!$D$8,0)</f>
        <v>708267</v>
      </c>
      <c r="I20" s="82">
        <f t="shared" si="0"/>
        <v>42568263</v>
      </c>
      <c r="J20" s="83">
        <f t="shared" si="1"/>
        <v>7861068</v>
      </c>
      <c r="K20" s="83">
        <v>0</v>
      </c>
      <c r="L20" s="84"/>
    </row>
    <row r="21" spans="1:13" x14ac:dyDescent="0.25">
      <c r="A21" t="s">
        <v>59</v>
      </c>
      <c r="B21" t="s">
        <v>11</v>
      </c>
      <c r="C21" s="8" t="s">
        <v>61</v>
      </c>
      <c r="D21" s="16">
        <f>ROUND(VLOOKUP($C21,Px!$B$13:$K$19,9,0),4)</f>
        <v>5664.7142999999996</v>
      </c>
      <c r="E21" s="104">
        <f>VLOOKUP(C21,Px!$B$13:$K$19,10,0)</f>
        <v>59.74</v>
      </c>
      <c r="F21" s="41"/>
      <c r="G21" s="101">
        <f>'ENEL DX'!M8</f>
        <v>3041</v>
      </c>
      <c r="H21" s="84">
        <f>ROUND('ENEL DX'!$E$8,0)</f>
        <v>1551968</v>
      </c>
      <c r="I21" s="82">
        <f t="shared" si="0"/>
        <v>92714568</v>
      </c>
      <c r="J21" s="83">
        <f t="shared" si="1"/>
        <v>17226396</v>
      </c>
      <c r="K21" s="83">
        <v>0</v>
      </c>
      <c r="L21" s="84"/>
    </row>
    <row r="22" spans="1:13" x14ac:dyDescent="0.25">
      <c r="A22" t="s">
        <v>59</v>
      </c>
      <c r="B22" t="s">
        <v>11</v>
      </c>
      <c r="C22" s="8" t="s">
        <v>62</v>
      </c>
      <c r="D22" s="16">
        <f>ROUND(VLOOKUP($C22,Px!$B$13:$K$19,9,0),4)</f>
        <v>5749.3459000000003</v>
      </c>
      <c r="E22" s="104">
        <f>VLOOKUP(C22,Px!$B$13:$K$19,10,0)</f>
        <v>63.228999999999999</v>
      </c>
      <c r="F22" s="41"/>
      <c r="G22" s="101">
        <f>'ENEL DX'!N8</f>
        <v>3</v>
      </c>
      <c r="H22" s="84">
        <f>ROUND('ENEL DX'!$F$8,0)</f>
        <v>1410</v>
      </c>
      <c r="I22" s="82">
        <f t="shared" si="0"/>
        <v>89153</v>
      </c>
      <c r="J22" s="83">
        <f t="shared" si="1"/>
        <v>17248</v>
      </c>
      <c r="K22" s="94">
        <v>0</v>
      </c>
      <c r="L22" s="84"/>
    </row>
    <row r="23" spans="1:13" x14ac:dyDescent="0.25">
      <c r="A23" t="s">
        <v>59</v>
      </c>
      <c r="B23" t="s">
        <v>11</v>
      </c>
      <c r="C23" s="8" t="s">
        <v>63</v>
      </c>
      <c r="D23" s="16">
        <f>ROUND(VLOOKUP($C23,Px!$B$13:$K$19,9,0),4)</f>
        <v>5527.9584999999997</v>
      </c>
      <c r="E23" s="104">
        <f>VLOOKUP(C23,Px!$B$13:$K$19,10,0)</f>
        <v>57.094000000000001</v>
      </c>
      <c r="F23" s="41"/>
      <c r="G23" s="101">
        <f>'ENEL DX'!O8</f>
        <v>1</v>
      </c>
      <c r="H23" s="84">
        <f>ROUND('ENEL DX'!$G$8,0)</f>
        <v>621</v>
      </c>
      <c r="I23" s="82">
        <f t="shared" si="0"/>
        <v>35455</v>
      </c>
      <c r="J23" s="83">
        <f t="shared" si="1"/>
        <v>5528</v>
      </c>
      <c r="K23" s="83">
        <v>0</v>
      </c>
      <c r="L23" s="84"/>
    </row>
    <row r="24" spans="1:13" x14ac:dyDescent="0.25">
      <c r="A24" t="s">
        <v>59</v>
      </c>
      <c r="B24" t="s">
        <v>11</v>
      </c>
      <c r="C24" s="8" t="s">
        <v>64</v>
      </c>
      <c r="D24" s="16">
        <f>ROUND(VLOOKUP($C24,Px!$B$13:$K$19,9,0),4)</f>
        <v>5604.7434999999996</v>
      </c>
      <c r="E24" s="104">
        <f>VLOOKUP(C24,Px!$B$13:$K$19,10,0)</f>
        <v>60.386000000000003</v>
      </c>
      <c r="F24" s="41"/>
      <c r="G24" s="101">
        <f>'ENEL DX'!P8</f>
        <v>1125</v>
      </c>
      <c r="H24" s="84">
        <f>ROUND('ENEL DX'!$H$8,0)</f>
        <v>574020</v>
      </c>
      <c r="I24" s="82">
        <f t="shared" si="0"/>
        <v>34662772</v>
      </c>
      <c r="J24" s="83">
        <f t="shared" si="1"/>
        <v>6305336</v>
      </c>
      <c r="K24" s="83">
        <v>0</v>
      </c>
      <c r="L24" s="84"/>
    </row>
    <row r="25" spans="1:13" x14ac:dyDescent="0.25">
      <c r="A25" t="s">
        <v>59</v>
      </c>
      <c r="B25" t="s">
        <v>11</v>
      </c>
      <c r="C25" t="s">
        <v>65</v>
      </c>
      <c r="D25" s="75">
        <f>ROUND(VLOOKUP($C25,Px!$B$13:$K$19,9,0),4)</f>
        <v>5616.5135</v>
      </c>
      <c r="E25" s="105">
        <f>VLOOKUP(C25,Px!$B$13:$K$19,10,0)</f>
        <v>61.316000000000003</v>
      </c>
      <c r="F25" s="76"/>
      <c r="G25" s="102">
        <f>'ENEL DX'!Q8</f>
        <v>15</v>
      </c>
      <c r="H25" s="84">
        <f>ROUND('ENEL DX'!$I$8,0)</f>
        <v>7510</v>
      </c>
      <c r="I25" s="77">
        <f t="shared" si="0"/>
        <v>460483</v>
      </c>
      <c r="J25" s="78">
        <f t="shared" si="1"/>
        <v>84248</v>
      </c>
      <c r="K25" s="78">
        <v>0</v>
      </c>
      <c r="L25" s="78"/>
      <c r="M25" s="85"/>
    </row>
    <row r="26" spans="1:13" ht="14.4" x14ac:dyDescent="0.3">
      <c r="A26" s="17"/>
      <c r="B26" s="17"/>
      <c r="C26" s="17"/>
      <c r="D26" s="17"/>
      <c r="E26" s="38"/>
      <c r="F26" s="74" t="s">
        <v>12</v>
      </c>
      <c r="G26" s="91">
        <f>SUM(G5:G25)</f>
        <v>7110</v>
      </c>
      <c r="H26" s="92">
        <f t="shared" ref="H26:K26" si="2">SUM(H5:H25)</f>
        <v>13778594</v>
      </c>
      <c r="I26" s="91">
        <f>SUM(I5:I25)</f>
        <v>823098656</v>
      </c>
      <c r="J26" s="91">
        <f>SUM(J5:J25)</f>
        <v>40050568</v>
      </c>
      <c r="K26" s="91">
        <f t="shared" si="2"/>
        <v>76.925863716355025</v>
      </c>
      <c r="L26" s="92">
        <f>SUM(L5:L25)</f>
        <v>0</v>
      </c>
    </row>
    <row r="28" spans="1:13" x14ac:dyDescent="0.25">
      <c r="E28" s="11" t="s">
        <v>55</v>
      </c>
      <c r="F28" t="s">
        <v>56</v>
      </c>
    </row>
    <row r="32" spans="1:13" ht="13.8" x14ac:dyDescent="0.25">
      <c r="I32" s="56"/>
    </row>
    <row r="37" spans="9:15" x14ac:dyDescent="0.25">
      <c r="N37" s="15"/>
      <c r="O37" s="15"/>
    </row>
    <row r="39" spans="9:15" s="15" customFormat="1" ht="20.25" customHeight="1" x14ac:dyDescent="0.25">
      <c r="N39"/>
      <c r="O39"/>
    </row>
    <row r="41" spans="9:15" x14ac:dyDescent="0.25">
      <c r="I41" s="12"/>
      <c r="J41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R8"/>
  <sheetViews>
    <sheetView zoomScale="90" zoomScaleNormal="90" workbookViewId="0">
      <selection activeCell="L18" sqref="L18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3" spans="1:18" ht="15" thickBot="1" x14ac:dyDescent="0.35">
      <c r="A3" s="33" t="s">
        <v>39</v>
      </c>
      <c r="B3" s="33" t="s">
        <v>73</v>
      </c>
    </row>
    <row r="4" spans="1:18" ht="13.8" thickBot="1" x14ac:dyDescent="0.3">
      <c r="C4" s="122" t="s">
        <v>69</v>
      </c>
      <c r="D4" s="123"/>
      <c r="E4" s="123"/>
      <c r="F4" s="123"/>
      <c r="G4" s="123"/>
      <c r="H4" s="123"/>
      <c r="I4" s="123"/>
      <c r="J4" s="124"/>
      <c r="K4" s="122" t="s">
        <v>66</v>
      </c>
      <c r="L4" s="123"/>
      <c r="M4" s="123"/>
      <c r="N4" s="123"/>
      <c r="O4" s="123"/>
      <c r="P4" s="123"/>
      <c r="Q4" s="123"/>
      <c r="R4" s="124"/>
    </row>
    <row r="5" spans="1:18" ht="15" thickBot="1" x14ac:dyDescent="0.3">
      <c r="A5" s="34" t="s">
        <v>41</v>
      </c>
      <c r="B5" s="35" t="s">
        <v>42</v>
      </c>
      <c r="C5" s="98" t="s">
        <v>16</v>
      </c>
      <c r="D5" s="98" t="s">
        <v>60</v>
      </c>
      <c r="E5" s="98" t="s">
        <v>61</v>
      </c>
      <c r="F5" s="98" t="s">
        <v>62</v>
      </c>
      <c r="G5" s="98" t="s">
        <v>63</v>
      </c>
      <c r="H5" s="98" t="s">
        <v>64</v>
      </c>
      <c r="I5" s="98" t="s">
        <v>65</v>
      </c>
      <c r="J5" s="99" t="s">
        <v>12</v>
      </c>
      <c r="K5" s="100" t="s">
        <v>16</v>
      </c>
      <c r="L5" s="98" t="s">
        <v>60</v>
      </c>
      <c r="M5" s="98" t="s">
        <v>61</v>
      </c>
      <c r="N5" s="98" t="s">
        <v>62</v>
      </c>
      <c r="O5" s="98" t="s">
        <v>63</v>
      </c>
      <c r="P5" s="98" t="s">
        <v>64</v>
      </c>
      <c r="Q5" s="98" t="s">
        <v>65</v>
      </c>
      <c r="R5" s="99" t="s">
        <v>12</v>
      </c>
    </row>
    <row r="6" spans="1:18" x14ac:dyDescent="0.25">
      <c r="A6" s="36" t="s">
        <v>43</v>
      </c>
      <c r="B6" s="37" t="s">
        <v>44</v>
      </c>
      <c r="C6" s="95">
        <v>855357.92553621868</v>
      </c>
      <c r="D6" s="95">
        <v>781357.01249402727</v>
      </c>
      <c r="E6" s="95">
        <v>1677254.0428516672</v>
      </c>
      <c r="F6" s="95">
        <v>1900.0249534547881</v>
      </c>
      <c r="G6" s="95">
        <v>816.11496055345788</v>
      </c>
      <c r="H6" s="95">
        <v>649453.9899557149</v>
      </c>
      <c r="I6" s="95">
        <v>8530.7899672602234</v>
      </c>
      <c r="J6" s="96">
        <f>SUM(C6:I6)</f>
        <v>3974669.9007188966</v>
      </c>
      <c r="K6" s="95">
        <v>0</v>
      </c>
      <c r="L6" s="95">
        <v>0</v>
      </c>
      <c r="M6" s="95">
        <v>0</v>
      </c>
      <c r="N6" s="95">
        <v>0</v>
      </c>
      <c r="O6" s="95">
        <v>0</v>
      </c>
      <c r="P6" s="95">
        <v>0</v>
      </c>
      <c r="Q6" s="95">
        <v>0</v>
      </c>
      <c r="R6" s="96">
        <f>SUM(K6:Q6)</f>
        <v>0</v>
      </c>
    </row>
    <row r="7" spans="1:18" x14ac:dyDescent="0.25">
      <c r="A7" s="36" t="s">
        <v>43</v>
      </c>
      <c r="B7" s="37" t="s">
        <v>45</v>
      </c>
      <c r="C7" s="95">
        <v>1336136.1532062429</v>
      </c>
      <c r="D7" s="95">
        <v>1216964.5312267044</v>
      </c>
      <c r="E7" s="95">
        <v>2594833.3121854761</v>
      </c>
      <c r="F7" s="95">
        <v>2263.8755041247464</v>
      </c>
      <c r="G7" s="95">
        <v>979.09751506527505</v>
      </c>
      <c r="H7" s="95">
        <v>1011652.2831035459</v>
      </c>
      <c r="I7" s="95">
        <v>13194.884980804491</v>
      </c>
      <c r="J7" s="97">
        <f t="shared" ref="J7:J8" si="0">SUM(C7:I7)</f>
        <v>6176024.1377219642</v>
      </c>
      <c r="K7" s="95">
        <v>0</v>
      </c>
      <c r="L7" s="95">
        <v>0</v>
      </c>
      <c r="M7" s="95">
        <v>0</v>
      </c>
      <c r="N7" s="95">
        <v>0</v>
      </c>
      <c r="O7" s="95">
        <v>0</v>
      </c>
      <c r="P7" s="95">
        <v>0</v>
      </c>
      <c r="Q7" s="95">
        <v>0</v>
      </c>
      <c r="R7" s="97">
        <f t="shared" ref="R7:R8" si="1">SUM(K7:Q7)</f>
        <v>0</v>
      </c>
    </row>
    <row r="8" spans="1:18" x14ac:dyDescent="0.25">
      <c r="A8" s="36" t="s">
        <v>43</v>
      </c>
      <c r="B8" s="37" t="s">
        <v>46</v>
      </c>
      <c r="C8" s="95">
        <v>784104.09283829876</v>
      </c>
      <c r="D8" s="95">
        <v>708266.83437849709</v>
      </c>
      <c r="E8" s="95">
        <v>1551967.8650691849</v>
      </c>
      <c r="F8" s="95">
        <v>1409.7029811104965</v>
      </c>
      <c r="G8" s="95">
        <v>621.03763838292707</v>
      </c>
      <c r="H8" s="95">
        <v>574019.6989106976</v>
      </c>
      <c r="I8" s="95">
        <v>7510.3731421527418</v>
      </c>
      <c r="J8" s="97">
        <f t="shared" si="0"/>
        <v>3627899.6049583242</v>
      </c>
      <c r="K8" s="95">
        <v>1537</v>
      </c>
      <c r="L8" s="95">
        <v>1388</v>
      </c>
      <c r="M8" s="95">
        <v>3041</v>
      </c>
      <c r="N8" s="95">
        <v>3</v>
      </c>
      <c r="O8" s="95">
        <v>1</v>
      </c>
      <c r="P8" s="95">
        <v>1125</v>
      </c>
      <c r="Q8" s="95">
        <v>15</v>
      </c>
      <c r="R8" s="97">
        <f t="shared" si="1"/>
        <v>7110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zoomScaleNormal="100" workbookViewId="0">
      <selection activeCell="G14" sqref="G14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8" t="s">
        <v>18</v>
      </c>
      <c r="B2" s="19"/>
      <c r="C2" s="19" t="s">
        <v>19</v>
      </c>
      <c r="D2" s="20" t="s">
        <v>20</v>
      </c>
      <c r="E2" s="21"/>
      <c r="F2" s="21"/>
      <c r="G2" s="21"/>
    </row>
    <row r="3" spans="1:15" ht="13.8" x14ac:dyDescent="0.3">
      <c r="A3" s="22" t="s">
        <v>21</v>
      </c>
      <c r="B3" s="21" t="s">
        <v>22</v>
      </c>
      <c r="C3" s="21">
        <v>79.322000000000003</v>
      </c>
      <c r="D3" s="23" t="s">
        <v>23</v>
      </c>
      <c r="E3" s="71"/>
      <c r="F3" s="21"/>
      <c r="G3" s="70"/>
    </row>
    <row r="4" spans="1:15" ht="13.8" x14ac:dyDescent="0.3">
      <c r="A4" s="24" t="s">
        <v>24</v>
      </c>
      <c r="B4" s="25" t="s">
        <v>25</v>
      </c>
      <c r="C4" s="25">
        <v>8.3592999999999993</v>
      </c>
      <c r="D4" s="26" t="s">
        <v>23</v>
      </c>
      <c r="E4" s="71"/>
      <c r="F4" s="21"/>
      <c r="G4" s="70"/>
      <c r="H4" s="93" t="s">
        <v>71</v>
      </c>
    </row>
    <row r="5" spans="1:15" ht="13.8" x14ac:dyDescent="0.3">
      <c r="A5" s="18" t="s">
        <v>18</v>
      </c>
      <c r="B5" s="19"/>
      <c r="C5" s="19" t="s">
        <v>19</v>
      </c>
      <c r="D5" s="20" t="s">
        <v>20</v>
      </c>
      <c r="E5" s="21"/>
      <c r="F5" s="21"/>
      <c r="G5" s="18" t="s">
        <v>57</v>
      </c>
      <c r="H5" s="87">
        <v>3.0096147303192753</v>
      </c>
    </row>
    <row r="6" spans="1:15" ht="13.8" x14ac:dyDescent="0.3">
      <c r="A6" s="22" t="s">
        <v>26</v>
      </c>
      <c r="B6" s="21"/>
      <c r="C6" s="21">
        <v>801.49</v>
      </c>
      <c r="D6" s="23" t="s">
        <v>70</v>
      </c>
      <c r="E6" s="21"/>
      <c r="F6" s="21"/>
      <c r="G6" s="66" t="s">
        <v>53</v>
      </c>
      <c r="H6" s="88">
        <v>0.90529547693185475</v>
      </c>
    </row>
    <row r="7" spans="1:15" ht="13.8" x14ac:dyDescent="0.3">
      <c r="A7" s="22" t="s">
        <v>27</v>
      </c>
      <c r="B7" s="21"/>
      <c r="C7" s="90">
        <v>257.74599999999998</v>
      </c>
      <c r="D7" s="23"/>
      <c r="E7" s="21"/>
      <c r="F7" s="21"/>
      <c r="G7" s="67" t="s">
        <v>54</v>
      </c>
      <c r="H7" s="89">
        <v>0.76950071006485832</v>
      </c>
      <c r="K7" s="54"/>
    </row>
    <row r="8" spans="1:15" ht="13.8" x14ac:dyDescent="0.3">
      <c r="A8" s="22" t="s">
        <v>28</v>
      </c>
      <c r="B8" s="21"/>
      <c r="C8" s="27">
        <v>237.09</v>
      </c>
      <c r="D8" s="28" t="s">
        <v>29</v>
      </c>
      <c r="E8" s="21"/>
      <c r="F8" s="21"/>
      <c r="G8" s="21"/>
      <c r="O8" s="54"/>
    </row>
    <row r="9" spans="1:15" ht="13.8" x14ac:dyDescent="0.3">
      <c r="A9" s="24" t="s">
        <v>30</v>
      </c>
      <c r="B9" s="25"/>
      <c r="C9" s="29"/>
      <c r="D9" s="30" t="s">
        <v>72</v>
      </c>
      <c r="E9" s="21"/>
      <c r="F9" s="21"/>
      <c r="G9" s="21"/>
      <c r="O9" s="54"/>
    </row>
    <row r="10" spans="1:15" ht="13.8" x14ac:dyDescent="0.3">
      <c r="A10" s="21"/>
      <c r="B10" s="21"/>
      <c r="C10" s="21"/>
      <c r="D10" s="21"/>
      <c r="E10" s="21"/>
      <c r="F10" s="21"/>
      <c r="G10" s="21"/>
    </row>
    <row r="11" spans="1:15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5" ht="27.6" x14ac:dyDescent="0.25">
      <c r="A12" s="45" t="s">
        <v>48</v>
      </c>
      <c r="B12" s="45" t="s">
        <v>31</v>
      </c>
      <c r="C12" s="45" t="s">
        <v>49</v>
      </c>
      <c r="D12" s="45" t="s">
        <v>32</v>
      </c>
      <c r="E12" s="45" t="s">
        <v>52</v>
      </c>
      <c r="F12" s="45" t="s">
        <v>33</v>
      </c>
      <c r="G12" s="45" t="s">
        <v>34</v>
      </c>
      <c r="H12" s="45" t="s">
        <v>35</v>
      </c>
      <c r="I12" s="45" t="s">
        <v>36</v>
      </c>
      <c r="J12" s="72" t="s">
        <v>36</v>
      </c>
      <c r="K12" s="73" t="s">
        <v>50</v>
      </c>
    </row>
    <row r="13" spans="1:15" ht="13.8" x14ac:dyDescent="0.3">
      <c r="A13" s="21" t="s">
        <v>67</v>
      </c>
      <c r="B13" s="21" t="s">
        <v>16</v>
      </c>
      <c r="C13" s="46"/>
      <c r="D13" s="47">
        <v>0.97529999999999994</v>
      </c>
      <c r="E13" s="47">
        <v>0.99260000000000004</v>
      </c>
      <c r="F13" s="48">
        <f>($C$3*$C$7/$C$8-$H$5)*D13</f>
        <v>81.16754651311976</v>
      </c>
      <c r="G13" s="48">
        <f>$C$4*$C$7/$C$8*E13</f>
        <v>9.0203394254514322</v>
      </c>
      <c r="H13" s="48">
        <f>ROUND(F13*$C$6/1000,3)</f>
        <v>65.055000000000007</v>
      </c>
      <c r="I13" s="65">
        <f>G13*$C$6</f>
        <v>7229.7118461050686</v>
      </c>
      <c r="J13" s="106">
        <f>ROUND(I13*$H$7,4)</f>
        <v>5563.2683999999999</v>
      </c>
      <c r="K13" s="49">
        <f>ROUND(H13*$H$6,3)</f>
        <v>58.893999999999998</v>
      </c>
    </row>
    <row r="14" spans="1:15" ht="13.8" x14ac:dyDescent="0.3">
      <c r="A14" s="21" t="s">
        <v>67</v>
      </c>
      <c r="B14" s="21" t="s">
        <v>60</v>
      </c>
      <c r="C14" s="46"/>
      <c r="D14" s="47">
        <v>0.99529999999999996</v>
      </c>
      <c r="E14" s="47">
        <v>1.0105</v>
      </c>
      <c r="F14" s="48">
        <f t="shared" ref="F14:F19" si="0">($C$3*$C$7/$C$8-$H$5)*D14</f>
        <v>82.832009683695375</v>
      </c>
      <c r="G14" s="48">
        <f t="shared" ref="G14:G15" si="1">$C$4*$C$7/$C$8*E14</f>
        <v>9.1830072430169967</v>
      </c>
      <c r="H14" s="48">
        <f t="shared" ref="H14:H19" si="2">ROUND(F14*$C$6/1000,3)</f>
        <v>66.388999999999996</v>
      </c>
      <c r="I14" s="65">
        <f>G14*$C$6</f>
        <v>7360.0884752056927</v>
      </c>
      <c r="J14" s="106">
        <f t="shared" ref="J14:J19" si="3">ROUND(I14*$H$7,4)</f>
        <v>5663.5933000000005</v>
      </c>
      <c r="K14" s="49">
        <f t="shared" ref="K14:K19" si="4">ROUND(H14*$H$6,3)</f>
        <v>60.101999999999997</v>
      </c>
    </row>
    <row r="15" spans="1:15" ht="13.8" x14ac:dyDescent="0.3">
      <c r="A15" s="21" t="s">
        <v>67</v>
      </c>
      <c r="B15" s="21" t="s">
        <v>61</v>
      </c>
      <c r="C15" s="46"/>
      <c r="D15" s="47">
        <v>0.98929999999999996</v>
      </c>
      <c r="E15" s="47">
        <v>1.0106999999999999</v>
      </c>
      <c r="F15" s="48">
        <f t="shared" si="0"/>
        <v>82.332670732522686</v>
      </c>
      <c r="G15" s="48">
        <f t="shared" si="1"/>
        <v>9.1848247605316953</v>
      </c>
      <c r="H15" s="48">
        <f t="shared" si="2"/>
        <v>65.989000000000004</v>
      </c>
      <c r="I15" s="65">
        <f>G15*$C$6</f>
        <v>7361.5451973185482</v>
      </c>
      <c r="J15" s="106">
        <f t="shared" si="3"/>
        <v>5664.7142999999996</v>
      </c>
      <c r="K15" s="49">
        <f t="shared" si="4"/>
        <v>59.74</v>
      </c>
    </row>
    <row r="16" spans="1:15" ht="13.8" x14ac:dyDescent="0.3">
      <c r="A16" s="21" t="s">
        <v>67</v>
      </c>
      <c r="B16" s="21" t="s">
        <v>62</v>
      </c>
      <c r="C16" s="46"/>
      <c r="D16" s="47">
        <v>1.0470999999999999</v>
      </c>
      <c r="E16" s="47">
        <v>1.0258</v>
      </c>
      <c r="F16" s="48">
        <f t="shared" si="0"/>
        <v>87.142969295486211</v>
      </c>
      <c r="G16" s="48">
        <f>$C$4*$C$7/$C$8*E16</f>
        <v>9.3220473328914757</v>
      </c>
      <c r="H16" s="48">
        <f t="shared" si="2"/>
        <v>69.843999999999994</v>
      </c>
      <c r="I16" s="65">
        <f>G16*$C$6</f>
        <v>7471.5277168391885</v>
      </c>
      <c r="J16" s="106">
        <f t="shared" si="3"/>
        <v>5749.3459000000003</v>
      </c>
      <c r="K16" s="49">
        <f t="shared" si="4"/>
        <v>63.228999999999999</v>
      </c>
    </row>
    <row r="17" spans="1:11" ht="13.8" x14ac:dyDescent="0.3">
      <c r="A17" s="21" t="s">
        <v>67</v>
      </c>
      <c r="B17" t="s">
        <v>63</v>
      </c>
      <c r="D17" s="47">
        <v>0.94550000000000001</v>
      </c>
      <c r="E17" s="47">
        <v>0.98629999999999995</v>
      </c>
      <c r="F17" s="48">
        <f t="shared" si="0"/>
        <v>78.687496388962103</v>
      </c>
      <c r="G17" s="48">
        <f t="shared" ref="G17:G19" si="5">$C$4*$C$7/$C$8*E17</f>
        <v>8.9630876237384101</v>
      </c>
      <c r="H17" s="48">
        <f t="shared" si="2"/>
        <v>63.067</v>
      </c>
      <c r="I17" s="65">
        <f t="shared" ref="I17:I19" si="6">G17*$C$6</f>
        <v>7183.8250995500985</v>
      </c>
      <c r="J17" s="106">
        <f t="shared" si="3"/>
        <v>5527.9584999999997</v>
      </c>
      <c r="K17" s="49">
        <f t="shared" si="4"/>
        <v>57.094000000000001</v>
      </c>
    </row>
    <row r="18" spans="1:11" ht="13.8" x14ac:dyDescent="0.3">
      <c r="A18" s="21" t="s">
        <v>67</v>
      </c>
      <c r="B18" t="s">
        <v>64</v>
      </c>
      <c r="D18" s="47">
        <v>1</v>
      </c>
      <c r="E18" s="47">
        <v>1</v>
      </c>
      <c r="F18" s="48">
        <f t="shared" si="0"/>
        <v>83.223158528780644</v>
      </c>
      <c r="G18" s="48">
        <f t="shared" si="5"/>
        <v>9.0875875734952967</v>
      </c>
      <c r="H18" s="48">
        <f t="shared" si="2"/>
        <v>66.703000000000003</v>
      </c>
      <c r="I18" s="65">
        <f t="shared" si="6"/>
        <v>7283.6105642807452</v>
      </c>
      <c r="J18" s="106">
        <f t="shared" si="3"/>
        <v>5604.7434999999996</v>
      </c>
      <c r="K18" s="49">
        <f t="shared" si="4"/>
        <v>60.386000000000003</v>
      </c>
    </row>
    <row r="19" spans="1:11" ht="13.8" x14ac:dyDescent="0.3">
      <c r="A19" s="21" t="s">
        <v>67</v>
      </c>
      <c r="B19" t="s">
        <v>65</v>
      </c>
      <c r="D19" s="47">
        <v>1.0154000000000001</v>
      </c>
      <c r="E19" s="47">
        <v>1.0021</v>
      </c>
      <c r="F19" s="48">
        <f t="shared" si="0"/>
        <v>84.50479517012387</v>
      </c>
      <c r="G19" s="48">
        <f t="shared" si="5"/>
        <v>9.1066715073996374</v>
      </c>
      <c r="H19" s="48">
        <f t="shared" si="2"/>
        <v>67.73</v>
      </c>
      <c r="I19" s="65">
        <f t="shared" si="6"/>
        <v>7298.9061464657352</v>
      </c>
      <c r="J19" s="106">
        <f t="shared" si="3"/>
        <v>5616.5135</v>
      </c>
      <c r="K19" s="49">
        <f t="shared" si="4"/>
        <v>61.316000000000003</v>
      </c>
    </row>
    <row r="20" spans="1:11" x14ac:dyDescent="0.25">
      <c r="J20" s="107"/>
    </row>
    <row r="22" spans="1:11" x14ac:dyDescent="0.25">
      <c r="E22" s="86"/>
    </row>
    <row r="24" spans="1:11" ht="13.8" x14ac:dyDescent="0.3">
      <c r="I24" s="21"/>
    </row>
    <row r="25" spans="1:11" ht="13.8" x14ac:dyDescent="0.3">
      <c r="I25" s="21"/>
    </row>
    <row r="26" spans="1:11" ht="13.8" x14ac:dyDescent="0.3">
      <c r="I26" s="21"/>
    </row>
    <row r="27" spans="1:11" ht="13.8" x14ac:dyDescent="0.3">
      <c r="I27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2021-08-11T19:17:13Z</dcterms:modified>
</cp:coreProperties>
</file>