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8-Ago\"/>
    </mc:Choice>
  </mc:AlternateContent>
  <xr:revisionPtr revIDLastSave="0" documentId="13_ncr:1_{64459E61-3578-4091-8F5C-24700ADFA847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6" i="2"/>
  <c r="F13" i="2"/>
  <c r="O8" i="3" l="1"/>
  <c r="O7" i="3"/>
  <c r="O6" i="3"/>
  <c r="H13" i="2" l="1"/>
  <c r="K13" i="2" s="1"/>
  <c r="G13" i="1" l="1"/>
  <c r="K17" i="1" l="1"/>
  <c r="O7" i="1" s="1"/>
  <c r="E13" i="1" l="1"/>
  <c r="E9" i="1"/>
  <c r="E5" i="1"/>
  <c r="H12" i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D16" i="1" l="1"/>
  <c r="J16" i="1" s="1"/>
  <c r="D12" i="1"/>
  <c r="D8" i="1"/>
  <c r="E16" i="1"/>
  <c r="I16" i="1" s="1"/>
  <c r="E12" i="1"/>
  <c r="I12" i="1" s="1"/>
  <c r="E8" i="1"/>
  <c r="I8" i="1" s="1"/>
  <c r="J12" i="1"/>
  <c r="J8" i="1"/>
  <c r="H14" i="2" l="1"/>
  <c r="K14" i="2" s="1"/>
  <c r="H15" i="2"/>
  <c r="K15" i="2" s="1"/>
  <c r="E15" i="1" l="1"/>
  <c r="E11" i="1"/>
  <c r="E7" i="1"/>
  <c r="E14" i="1"/>
  <c r="E10" i="1"/>
  <c r="E6" i="1"/>
  <c r="G14" i="2"/>
  <c r="I14" i="2" s="1"/>
  <c r="J14" i="2" s="1"/>
  <c r="G15" i="2"/>
  <c r="I15" i="2" s="1"/>
  <c r="J15" i="2" s="1"/>
  <c r="G13" i="2"/>
  <c r="D15" i="1" l="1"/>
  <c r="D11" i="1"/>
  <c r="J11" i="1" s="1"/>
  <c r="D7" i="1"/>
  <c r="D14" i="1"/>
  <c r="D10" i="1"/>
  <c r="D6" i="1"/>
  <c r="J10" i="1"/>
  <c r="I13" i="2"/>
  <c r="J13" i="2" s="1"/>
  <c r="D13" i="1" l="1"/>
  <c r="D9" i="1"/>
  <c r="J9" i="1" s="1"/>
  <c r="D5" i="1"/>
  <c r="J5" i="1" s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N6" i="1" s="1"/>
  <c r="H17" i="1"/>
  <c r="N5" i="1" s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<sst xmlns="http://schemas.openxmlformats.org/spreadsheetml/2006/main" count="157" uniqueCount="84">
  <si>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</si>
  <si>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</si>
  <si>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</si>
  <si>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</si>
  <si>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</si>
  <si>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</si>
  <si>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</si>
  <si>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</si>
  <si>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</si>
  <si>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</si>
  <si>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</si>
  <si>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</si>
  <si>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</si>
  <si>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</si>
  <si>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</si>
  <si>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</si>
  <si>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</si>
  <si>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</si>
  <si>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</si>
  <si>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</si>
  <si>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</si>
  <si>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</si>
  <si>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</si>
  <si>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</si>
  <si>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</si>
  <si>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</si>
  <si>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</si>
  <si>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</si>
  <si>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</si>
  <si>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</si>
  <si>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</si>
  <si>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</si>
  <si>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</si>
  <si>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</si>
  <si>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</si>
  <si>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</si>
  <si>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</si>
  <si>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</si>
  <si>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</si>
  <si>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</si>
  <si>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</si>
  <si>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</si>
  <si>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</si>
  <si>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</si>
  <si>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</si>
  <si>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</si>
  <si>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</si>
  <si>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</si>
  <si>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</si>
  <si>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</si>
  <si>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</si>
  <si>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</si>
  <si>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</si>
  <si>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</si>
  <si>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</si>
  <si>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</si>
  <si>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</si>
  <si>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</si>
  <si>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</si>
  <si>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</si>
  <si>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</si>
  <si>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</si>
  <si>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</si>
  <si>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</si>
  <si>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</si>
  <si>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</si>
  <si>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</si>
  <si>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</si>
  <si>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</si>
  <si>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</si>
  <si>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</si>
  <si>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</si>
  <si>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</si>
  <si>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</si>
  <si>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</si>
  <si>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</si>
  <si>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</si>
  <si>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</si>
  <si>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</si>
  <si>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</si>
  <si>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ITD Enero 2021</t>
  </si>
  <si>
    <t>Julio</t>
  </si>
  <si>
    <t>3T/2021</t>
  </si>
  <si>
    <t>ITD Julio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</si>
</sst>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2" formatCode="_ &quot;$&quot;* #,##0_ ;_ &quot;$&quot;* \-#,##0_ ;_ &quot;$&quot;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</numFmts>
  <fonts count="8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1804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0" fillId="0" borderId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3" borderId="0" applyNumberFormat="0" applyBorder="0" applyAlignment="0" applyProtection="0"/>
    <xf numFmtId="0" fontId="34" fillId="45" borderId="0" applyNumberFormat="0" applyBorder="0" applyAlignment="0" applyProtection="0"/>
    <xf numFmtId="0" fontId="34" fillId="42" borderId="0" applyNumberFormat="0" applyBorder="0" applyAlignment="0" applyProtection="0"/>
    <xf numFmtId="0" fontId="34" fillId="46" borderId="0" applyNumberFormat="0" applyBorder="0" applyAlignment="0" applyProtection="0"/>
    <xf numFmtId="0" fontId="34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6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5" fillId="46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1" fillId="0" borderId="0"/>
    <xf numFmtId="0" fontId="36" fillId="49" borderId="0" applyNumberFormat="0" applyBorder="0" applyAlignment="0" applyProtection="0"/>
    <xf numFmtId="0" fontId="37" fillId="50" borderId="39" applyNumberFormat="0" applyAlignment="0" applyProtection="0"/>
    <xf numFmtId="0" fontId="38" fillId="51" borderId="40" applyNumberFormat="0" applyAlignment="0" applyProtection="0"/>
    <xf numFmtId="0" fontId="39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35" fillId="48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41" fillId="46" borderId="39" applyNumberFormat="0" applyAlignment="0" applyProtection="0"/>
    <xf numFmtId="175" fontId="31" fillId="0" borderId="0" applyFont="0" applyFill="0" applyBorder="0" applyAlignment="0" applyProtection="0"/>
    <xf numFmtId="0" fontId="42" fillId="56" borderId="0" applyNumberFormat="0" applyBorder="0" applyAlignment="0" applyProtection="0"/>
    <xf numFmtId="0" fontId="43" fillId="46" borderId="0" applyNumberFormat="0" applyBorder="0" applyAlignment="0" applyProtection="0"/>
    <xf numFmtId="0" fontId="30" fillId="43" borderId="42" applyNumberFormat="0" applyFont="0" applyAlignment="0" applyProtection="0"/>
    <xf numFmtId="0" fontId="44" fillId="50" borderId="43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4" applyNumberFormat="0" applyFill="0" applyAlignment="0" applyProtection="0"/>
    <xf numFmtId="0" fontId="49" fillId="0" borderId="45" applyNumberFormat="0" applyFill="0" applyAlignment="0" applyProtection="0"/>
    <xf numFmtId="0" fontId="40" fillId="0" borderId="46" applyNumberFormat="0" applyFill="0" applyAlignment="0" applyProtection="0"/>
    <xf numFmtId="0" fontId="50" fillId="0" borderId="47" applyNumberFormat="0" applyFill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57" fillId="0" borderId="0" applyFont="0" applyFill="0" applyBorder="0" applyAlignment="0" applyProtection="0"/>
    <xf numFmtId="2" fontId="57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57" fillId="0" borderId="0" applyFont="0" applyFill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20" fillId="0" borderId="32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64" fillId="12" borderId="0" applyNumberFormat="0" applyBorder="0" applyAlignment="0" applyProtection="0"/>
    <xf numFmtId="0" fontId="23" fillId="13" borderId="33" applyNumberFormat="0" applyAlignment="0" applyProtection="0"/>
    <xf numFmtId="0" fontId="24" fillId="14" borderId="34" applyNumberFormat="0" applyAlignment="0" applyProtection="0"/>
    <xf numFmtId="0" fontId="25" fillId="14" borderId="33" applyNumberFormat="0" applyAlignment="0" applyProtection="0"/>
    <xf numFmtId="0" fontId="26" fillId="0" borderId="35" applyNumberFormat="0" applyFill="0" applyAlignment="0" applyProtection="0"/>
    <xf numFmtId="0" fontId="27" fillId="15" borderId="36" applyNumberFormat="0" applyAlignment="0" applyProtection="0"/>
    <xf numFmtId="0" fontId="28" fillId="0" borderId="0" applyNumberFormat="0" applyFill="0" applyBorder="0" applyAlignment="0" applyProtection="0"/>
    <xf numFmtId="0" fontId="1" fillId="16" borderId="37" applyNumberFormat="0" applyFont="0" applyAlignment="0" applyProtection="0"/>
    <xf numFmtId="0" fontId="65" fillId="0" borderId="0" applyNumberFormat="0" applyFill="0" applyBorder="0" applyAlignment="0" applyProtection="0"/>
    <xf numFmtId="0" fontId="3" fillId="0" borderId="38" applyNumberFormat="0" applyFill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9" fillId="40" borderId="0" applyNumberFormat="0" applyBorder="0" applyAlignment="0" applyProtection="0"/>
    <xf numFmtId="0" fontId="66" fillId="0" borderId="0"/>
    <xf numFmtId="178" fontId="67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8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3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1" fillId="0" borderId="0"/>
    <xf numFmtId="0" fontId="1" fillId="16" borderId="37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1" fillId="0" borderId="0"/>
    <xf numFmtId="0" fontId="30" fillId="0" borderId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30" fillId="0" borderId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>
      <alignment wrapText="1"/>
    </xf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30" fillId="0" borderId="0"/>
    <xf numFmtId="3" fontId="72" fillId="69" borderId="0">
      <alignment horizontal="left"/>
    </xf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3" fontId="73" fillId="57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4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4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5" fillId="44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56" borderId="0" applyNumberFormat="0" applyBorder="0" applyAlignment="0" applyProtection="0"/>
    <xf numFmtId="0" fontId="35" fillId="44" borderId="0" applyNumberFormat="0" applyBorder="0" applyAlignment="0" applyProtection="0"/>
    <xf numFmtId="0" fontId="74" fillId="57" borderId="0">
      <alignment horizontal="left"/>
    </xf>
    <xf numFmtId="0" fontId="36" fillId="44" borderId="0" applyNumberFormat="0" applyBorder="0" applyAlignment="0" applyProtection="0"/>
    <xf numFmtId="0" fontId="45" fillId="0" borderId="54" applyNumberFormat="0" applyFill="0" applyAlignment="0" applyProtection="0"/>
    <xf numFmtId="182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70" borderId="0" applyNumberFormat="0" applyBorder="0" applyAlignment="0" applyProtection="0"/>
    <xf numFmtId="0" fontId="35" fillId="52" borderId="0" applyNumberFormat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2" fillId="60" borderId="0" applyNumberFormat="0" applyBorder="0" applyAlignment="0" applyProtection="0"/>
    <xf numFmtId="3" fontId="76" fillId="69" borderId="2">
      <alignment horizontal="center"/>
    </xf>
    <xf numFmtId="0" fontId="77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85" fontId="7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70" fillId="0" borderId="0">
      <alignment wrapText="1"/>
    </xf>
    <xf numFmtId="0" fontId="70" fillId="0" borderId="0">
      <alignment wrapText="1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74" fillId="71" borderId="0">
      <alignment horizontal="left"/>
    </xf>
    <xf numFmtId="3" fontId="72" fillId="71" borderId="0">
      <alignment horizontal="left"/>
    </xf>
    <xf numFmtId="3" fontId="79" fillId="71" borderId="0">
      <alignment horizontal="center"/>
    </xf>
    <xf numFmtId="0" fontId="80" fillId="0" borderId="55" applyNumberFormat="0" applyFill="0" applyAlignment="0" applyProtection="0"/>
    <xf numFmtId="0" fontId="81" fillId="0" borderId="56" applyNumberFormat="0" applyFill="0" applyAlignment="0" applyProtection="0"/>
    <xf numFmtId="0" fontId="82" fillId="0" borderId="0" applyNumberFormat="0" applyFill="0" applyBorder="0" applyAlignment="0" applyProtection="0"/>
    <xf numFmtId="0" fontId="44" fillId="0" borderId="57" applyNumberFormat="0" applyFill="0" applyAlignment="0" applyProtection="0"/>
    <xf numFmtId="3" fontId="76" fillId="58" borderId="2">
      <alignment horizontal="center" vertical="center"/>
    </xf>
    <xf numFmtId="3" fontId="83" fillId="71" borderId="0">
      <alignment horizontal="left"/>
    </xf>
    <xf numFmtId="3" fontId="73" fillId="72" borderId="0">
      <alignment horizontal="right"/>
    </xf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6" fontId="5" fillId="0" borderId="0" xfId="0" applyNumberFormat="1" applyFont="1"/>
    <xf numFmtId="0" fontId="5" fillId="7" borderId="1" xfId="0" applyFont="1" applyFill="1" applyBorder="1" applyAlignment="1">
      <alignment horizontal="center"/>
    </xf>
    <xf numFmtId="166" fontId="5" fillId="0" borderId="2" xfId="0" applyNumberFormat="1" applyFont="1" applyBorder="1"/>
    <xf numFmtId="0" fontId="5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9" borderId="17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horizontal="center" vertical="center"/>
    </xf>
    <xf numFmtId="0" fontId="11" fillId="9" borderId="19" xfId="3" applyFont="1" applyFill="1" applyBorder="1" applyAlignment="1">
      <alignment horizontal="center" vertical="center"/>
    </xf>
    <xf numFmtId="0" fontId="11" fillId="9" borderId="20" xfId="3" applyFont="1" applyFill="1" applyBorder="1" applyAlignment="1">
      <alignment horizontal="center" vertical="center"/>
    </xf>
    <xf numFmtId="0" fontId="11" fillId="9" borderId="21" xfId="3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3" fillId="0" borderId="0" xfId="0" applyNumberFormat="1" applyFont="1"/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4" fillId="0" borderId="1" xfId="0" applyFont="1" applyBorder="1"/>
    <xf numFmtId="0" fontId="7" fillId="6" borderId="2" xfId="0" applyFont="1" applyFill="1" applyBorder="1" applyAlignment="1">
      <alignment horizontal="center" vertical="center" wrapText="1"/>
    </xf>
    <xf numFmtId="0" fontId="16" fillId="0" borderId="0" xfId="0" applyFont="1"/>
    <xf numFmtId="167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71" fontId="5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7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4" fillId="0" borderId="0" xfId="0" applyFont="1" applyBorder="1"/>
    <xf numFmtId="4" fontId="5" fillId="0" borderId="0" xfId="0" applyNumberFormat="1" applyFont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0" borderId="0" xfId="0" applyFill="1" applyBorder="1"/>
    <xf numFmtId="165" fontId="2" fillId="0" borderId="0" xfId="0" applyNumberFormat="1" applyFont="1" applyFill="1" applyBorder="1" applyAlignment="1">
      <alignment horizontal="center"/>
    </xf>
    <xf numFmtId="172" fontId="5" fillId="0" borderId="0" xfId="0" applyNumberFormat="1" applyFont="1"/>
    <xf numFmtId="165" fontId="5" fillId="0" borderId="0" xfId="0" applyNumberFormat="1" applyFont="1"/>
    <xf numFmtId="0" fontId="7" fillId="6" borderId="1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3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6" fillId="0" borderId="0" xfId="0" applyNumberFormat="1" applyFont="1"/>
    <xf numFmtId="4" fontId="5" fillId="0" borderId="10" xfId="0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171" fontId="3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7" fillId="6" borderId="16" xfId="0" applyFont="1" applyFill="1" applyBorder="1" applyAlignment="1">
      <alignment horizontal="center" vertical="center" wrapText="1"/>
    </xf>
    <xf numFmtId="171" fontId="5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2" fillId="73" borderId="27" xfId="3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2" xfId="3" applyFont="1" applyBorder="1" applyAlignment="1">
      <alignment horizontal="center"/>
    </xf>
    <xf numFmtId="0" fontId="11" fillId="0" borderId="12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</cellXfs>
  <cellStyles count="1804">
    <cellStyle name="0,0_x000a__x000a_NA_x000a__x000a_" xfId="1447" xr:uid="{D9F46B10-8B3A-4CF8-9FAA-F2345802DC27}"/>
    <cellStyle name="1o.nível" xfId="1448" xr:uid="{51433129-93C5-482C-A28A-F8A00B04E22A}"/>
    <cellStyle name="20% - Énfasis1 10" xfId="61" xr:uid="{BAD07C9D-BFA6-403B-BD0B-E9AB67A2307B}"/>
    <cellStyle name="20% - Énfasis1 11" xfId="62" xr:uid="{41316BAA-D0E8-43B2-BC72-0A807AA787CF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9" xfId="79" xr:uid="{FB82F23F-BFC0-4B31-82B8-6629A80996C3}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9" xfId="117" xr:uid="{638C8780-A1A7-4576-9FA5-6CBE481055FC}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4" xfId="1466" xr:uid="{F6F4DBA9-BB43-42B4-BBF0-7441572D79C5}"/>
    <cellStyle name="20% - Énfasis5 5" xfId="1467" xr:uid="{14039D06-3B5B-4642-9339-68C1FEECCEF8}"/>
    <cellStyle name="20% - Énfasis5 6" xfId="9" xr:uid="{9C3A61EC-1174-4460-85F5-2512DA93C966}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4" xfId="1478" xr:uid="{8C4B9C66-EAEF-444C-871E-8BFDD4304AAB}"/>
    <cellStyle name="40% - Énfasis2 5" xfId="1479" xr:uid="{EA99BBD6-9A65-4C38-A333-FDDCFBC39568}"/>
    <cellStyle name="40% - Énfasis2 6" xfId="12" xr:uid="{49ECD036-8C4B-44A7-B9F2-E69C7B008D10}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4" xfId="1489" xr:uid="{75C34CF2-D33B-4381-9A34-56FD1CCD4AC6}"/>
    <cellStyle name="40% - Énfasis5 5" xfId="1490" xr:uid="{0C942C5C-36AF-4E31-8394-80484F9AE008}"/>
    <cellStyle name="40% - Énfasis5 6" xfId="1491" xr:uid="{BB6ADC72-9714-4867-9579-4DC95C48A411}"/>
    <cellStyle name="40% - Énfasis5 7" xfId="15" xr:uid="{5887402A-382B-484D-9408-6301BECCF3DF}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9" xfId="250" xr:uid="{1C81EBF2-9C69-4D3A-904E-E522C566C339}"/>
    <cellStyle name="60% - Énfasis2 2" xfId="870" xr:uid="{5D6B344C-0537-40F9-8675-2740535C0EB9}"/>
    <cellStyle name="60% - Énfasis2 3" xfId="1498" xr:uid="{76617AED-83F5-47A0-8A3B-99C49483BCA3}"/>
    <cellStyle name="60% - Énfasis2 4" xfId="18" xr:uid="{7AB046E8-C901-4A2A-B043-07AF3A44A2C7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3" xfId="1503" xr:uid="{2F21453F-04A9-46EC-A6FF-DA08E781331E}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4" xfId="375" xr:uid="{41BCD6EC-B52F-4C51-8B87-39375D31CF6A}"/>
    <cellStyle name="Cálculo 4 2" xfId="1041" xr:uid="{12598DC1-C312-4071-968D-04761E026265}"/>
    <cellStyle name="Cálculo 5" xfId="376" xr:uid="{78A18110-DC1E-4930-9501-444F8E4B6472}"/>
    <cellStyle name="Cálculo 5 2" xfId="1042" xr:uid="{66FE1820-8AD6-4483-ACC8-A768D4060AA5}"/>
    <cellStyle name="Cálculo 6" xfId="377" xr:uid="{B286E2A0-619E-4AE2-8CFC-2144B3AA7E6B}"/>
    <cellStyle name="Cálculo 6 2" xfId="1043" xr:uid="{2CE7A929-018F-4E08-908C-983502A91C9D}"/>
    <cellStyle name="Cálculo 7" xfId="378" xr:uid="{3F987A17-DED0-473A-A379-284D8A95B71A}"/>
    <cellStyle name="Cálculo 7 2" xfId="1044" xr:uid="{BF739D48-EDA8-4789-84C0-5F4CD7B0D4F0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 2" xfId="44" xr:uid="{C970E470-59AC-4BD4-8360-7402CEA92532}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 2" xfId="867" xr:uid="{6D6E61E6-2007-42BE-B251-75DD9F17AE58}"/>
    <cellStyle name="Énfasis2 3" xfId="1511" xr:uid="{C50351C1-EBDC-4DE8-A3E7-C3B97BDFE24E}"/>
    <cellStyle name="Énfasis2 4" xfId="30" xr:uid="{10AFEA96-C0DB-4411-9A39-214AFAB3B572}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4" xfId="547" xr:uid="{5F0593B3-D5DD-4E17-8484-F7983B2B56E0}"/>
    <cellStyle name="Entrada 4 2" xfId="1062" xr:uid="{F583B699-5A05-405E-B5AF-FDBEA815A61C}"/>
    <cellStyle name="Entrada 5" xfId="548" xr:uid="{40C7DF28-1597-4ECC-B605-58786EDC6BD8}"/>
    <cellStyle name="Entrada 5 2" xfId="1063" xr:uid="{7CBFA41C-906B-4171-B26A-4E79F4EA62E8}"/>
    <cellStyle name="Entrada 6" xfId="549" xr:uid="{1849A7AB-17A9-4AD0-A9CB-46C045592C50}"/>
    <cellStyle name="Entrada 6 2" xfId="1064" xr:uid="{9B18804D-06A3-4CD3-A79D-F3A5BA808ED8}"/>
    <cellStyle name="Entrada 7" xfId="550" xr:uid="{27F46E2D-44DB-49A4-BF86-C0E21E83EB17}"/>
    <cellStyle name="Entrada 7 2" xfId="1065" xr:uid="{1A88056D-9581-4831-84EE-E5ABD66FEFA9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 2" xfId="852" xr:uid="{B6FCEC30-FFF8-4711-8DB7-0E27D2061C1A}"/>
    <cellStyle name="Incorrecto 3" xfId="1576" xr:uid="{DB5F0867-C7C6-48BF-AB24-3B875CA0CA9C}"/>
    <cellStyle name="Incorrecto 4" xfId="37" xr:uid="{14CDC001-5415-40C9-AA38-3D8ED594DDCE}"/>
    <cellStyle name="Millares" xfId="1" builtinId="3"/>
    <cellStyle name="Millares [0] 2" xfId="1078" xr:uid="{1E1067F5-9B25-45BE-915C-42E76AC50E31}"/>
    <cellStyle name="Millares [0] 2 2" xfId="1079" xr:uid="{8DD6913B-2729-4FF1-AC51-054E9C9E9838}"/>
    <cellStyle name="Millares 10" xfId="1080" xr:uid="{302B60EE-0892-4513-8A61-7F3485CB702F}"/>
    <cellStyle name="Millares 11" xfId="1081" xr:uid="{B585BCB8-73DB-4FD9-8EFE-5EE9E80620B3}"/>
    <cellStyle name="Millares 12" xfId="1082" xr:uid="{8339F63D-B1BB-4A9A-9505-85C7315BCC20}"/>
    <cellStyle name="Millares 13" xfId="1083" xr:uid="{03AB7640-D225-40BC-888D-69C202E8B0DC}"/>
    <cellStyle name="Millares 14" xfId="1084" xr:uid="{13C36F74-2216-4DAA-9AF4-AFD11C02C053}"/>
    <cellStyle name="Millares 15" xfId="1085" xr:uid="{6A990939-237B-4AC1-B59C-724C401CEFCD}"/>
    <cellStyle name="Millares 16" xfId="1086" xr:uid="{37AD98E2-08F8-4F97-872D-9859E6993B77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2" xfId="888" xr:uid="{3B46E568-599F-4EBF-A7B3-3603683F70F0}"/>
    <cellStyle name="Millares 2 2 2" xfId="1090" xr:uid="{4B3921B4-FBEB-43FD-A811-0714DC1470E9}"/>
    <cellStyle name="Millares 2 3" xfId="889" xr:uid="{35C82452-2171-4C7F-B0F8-FACBE9FC4124}"/>
    <cellStyle name="Millares 2 4" xfId="890" xr:uid="{2BD5471A-489F-4892-BA0D-9052351CE9FA}"/>
    <cellStyle name="Millares 2 5" xfId="1091" xr:uid="{5A913119-76F6-40FA-84A1-B3274F886FC0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3" xfId="1102" xr:uid="{6A138B23-97D7-43F2-A7B7-EC0001E72E3D}"/>
    <cellStyle name="Millares 3 3 2" xfId="1103" xr:uid="{0D840F39-BBA0-453A-B56A-D085F7B9DAFE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3" xfId="1120" xr:uid="{EB758E82-C3DC-4918-B37B-809D9F199D0D}"/>
    <cellStyle name="Millares 40" xfId="1121" xr:uid="{12754C47-B528-47C5-ABAA-B198E0730D68}"/>
    <cellStyle name="Millares 41" xfId="1122" xr:uid="{84882DE8-6AFF-4569-B59D-0774EE7A5D3C}"/>
    <cellStyle name="Millares 5" xfId="893" xr:uid="{608C2E43-EE12-4B90-9E8C-3B8D49AACE96}"/>
    <cellStyle name="Millares 5 2" xfId="1123" xr:uid="{E1B24754-924A-4B54-AE56-88B04695BE24}"/>
    <cellStyle name="Millares 6" xfId="894" xr:uid="{2CBA1864-8CB6-41CD-A59F-8FEE35B93A47}"/>
    <cellStyle name="Millares 6 2" xfId="1124" xr:uid="{6A1A56BE-807C-48F7-B275-78F546CF58BF}"/>
    <cellStyle name="Millares 6 3" xfId="1125" xr:uid="{2574E13A-BEDB-4D32-903D-925B346240DD}"/>
    <cellStyle name="Millares 7" xfId="895" xr:uid="{DC05AAF7-FDB7-4DFE-8E1F-F5DC212A60CF}"/>
    <cellStyle name="Millares 7 2" xfId="1126" xr:uid="{D48C59DF-9161-4A88-B599-78F4868E4908}"/>
    <cellStyle name="Millares 7 3" xfId="1127" xr:uid="{D378A24C-CE41-4A70-A10F-677E4616D014}"/>
    <cellStyle name="Millares 8" xfId="896" xr:uid="{B7E7C9D7-CD6D-4616-9621-AE27851E97B4}"/>
    <cellStyle name="Millares 8 2" xfId="1128" xr:uid="{E24D0A4D-D9B6-4FB5-8E3E-1B554B673E9E}"/>
    <cellStyle name="Millares 9" xfId="897" xr:uid="{DB397FCC-57D4-44B7-9323-30C94CB0326C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7" xfId="646" xr:uid="{09B8630B-6737-4A5B-9EBE-7965D93A14AD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0" xfId="1182" xr:uid="{052766D7-DFAF-4530-9982-26862467AECF}"/>
    <cellStyle name="Normal 3 20 2" xfId="1183" xr:uid="{7620868D-0A4B-4363-B81B-49C2D6F2228A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4" xfId="659" xr:uid="{10A84622-D5E8-474F-8A84-46A9E72852E6}"/>
    <cellStyle name="Normal 3 4 2" xfId="906" xr:uid="{C2EC1C88-ACE5-4596-ADDE-B83CFEC2DFCA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3" xfId="1202" xr:uid="{1B64BDEF-80FF-4967-B222-36782687F9AE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3" xfId="1212" xr:uid="{945D0236-3AD2-4313-9645-B26125BDAE11}"/>
    <cellStyle name="Normal 5 3 2" xfId="1213" xr:uid="{07B8D849-7206-42E3-AA67-BE819442713C}"/>
    <cellStyle name="Normal 5 4" xfId="1214" xr:uid="{7D7DDAED-135C-436B-B67B-8916C822DFCC}"/>
    <cellStyle name="Normal 5 4 2" xfId="1215" xr:uid="{B2BD2508-0707-4B73-B72F-2CC4E818DD53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3" xfId="908" xr:uid="{1D85F882-59EF-414A-B6E6-6CAA7B8AE73E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4" xfId="1239" xr:uid="{EF977E52-EA1D-4F8C-9ED3-FCCFD1DF7C8D}"/>
    <cellStyle name="Normal 70" xfId="1667" xr:uid="{7269ABB0-F59A-4F94-A499-E924BF3405DA}"/>
    <cellStyle name="Normal 71" xfId="4" xr:uid="{EE0DC182-0238-47AC-90D1-4CF4560D323D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3" xfId="1285" xr:uid="{1D5A2F5C-9119-4801-A414-F54AF4870945}"/>
    <cellStyle name="Notas 2 3" xfId="1286" xr:uid="{E3208BA0-842B-43CB-9C67-14283A365EB5}"/>
    <cellStyle name="Notas 2 3 2" xfId="1287" xr:uid="{B3285EE6-28F9-460E-912C-79A44886A0B6}"/>
    <cellStyle name="Notas 2 4" xfId="1288" xr:uid="{D5612F7C-2F04-4998-A1C1-04A16A7CFA84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3" xfId="1303" xr:uid="{664F54EB-110A-44E0-99FE-04D3AD0B7D5E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3" xfId="1306" xr:uid="{446B530E-421B-4DA2-B547-F0B3695A221A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3" xfId="1309" xr:uid="{6B962AFB-A06D-4CBC-A32A-5B319E16D91F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3" xfId="1312" xr:uid="{10990111-B3D8-4B89-80B0-43041B19D277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3" xfId="1315" xr:uid="{0338C101-025A-4194-92AC-09005EE0558A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3" xfId="1318" xr:uid="{BD78A235-8BF6-4318-83F1-EADDC1EDFE01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3" xfId="1328" xr:uid="{ED11FAAB-3C97-41BE-BBB3-B6B9D8BA5096}"/>
    <cellStyle name="Porcentaje 2 2 4" xfId="1801" xr:uid="{39DC794F-AD1C-4C0E-A6BE-FB9E1267B19D}"/>
    <cellStyle name="Porcentaje 2 3" xfId="1329" xr:uid="{9164BFB6-66BA-4311-B21F-7C9B654F758B}"/>
    <cellStyle name="Porcentaje 2 3 2" xfId="1330" xr:uid="{9AAAD139-30B7-462F-8849-EA3A75AD7A9E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3" xfId="909" xr:uid="{AD5C5CB0-CF75-4C28-B11E-F12C81C2EB31}"/>
    <cellStyle name="Porcentaje 4" xfId="1334" xr:uid="{9FFC8F28-0D00-47C1-BA26-D928E51DB37A}"/>
    <cellStyle name="Porcentaje 4 2" xfId="1335" xr:uid="{151BD2A4-DE86-4CEF-8652-21189D64A0CC}"/>
    <cellStyle name="Porcentaje 5" xfId="1336" xr:uid="{7313AA35-3A00-4764-8137-F1767EF9716C}"/>
    <cellStyle name="Porcentaje 5 2" xfId="1337" xr:uid="{2902CEEA-5C8E-4AFC-AA1B-89B21E5F2B68}"/>
    <cellStyle name="Porcentaje 6" xfId="1802" xr:uid="{24EB003A-A2A1-457C-9C46-23BD9B266256}"/>
    <cellStyle name="Porcentaje 7" xfId="1803" xr:uid="{05EA547A-6CE4-485E-BC30-F26EE4952207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4" xfId="742" xr:uid="{1B080024-8CF0-4424-AECB-BCDD9B51163A}"/>
    <cellStyle name="Salida 4 2" xfId="1399" xr:uid="{9BD65972-52FE-4336-AAC6-10B791BE3334}"/>
    <cellStyle name="Salida 5" xfId="743" xr:uid="{0A40F38A-4D1B-4F76-A9F2-36BDCFB12057}"/>
    <cellStyle name="Salida 5 2" xfId="1400" xr:uid="{66A4DDD9-E4A3-4722-8DBE-64A02657EC08}"/>
    <cellStyle name="Salida 6" xfId="744" xr:uid="{77530C27-BEAC-4842-B04D-D59ED8DC617D}"/>
    <cellStyle name="Salida 6 2" xfId="1401" xr:uid="{69A656A5-FC6D-494C-9CD4-D9946FA11145}"/>
    <cellStyle name="Salida 7" xfId="745" xr:uid="{52230D9A-D8BB-4EC7-A052-7937661769F4}"/>
    <cellStyle name="Salida 7 2" xfId="1402" xr:uid="{0CBBEFAD-386B-4961-8CDB-6993E8CA74D0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 2" xfId="859" xr:uid="{AEC8FE60-BD6D-47A8-9B0B-4751FC1231C3}"/>
    <cellStyle name="Texto de advertencia 3" xfId="41" xr:uid="{93020BEF-87D4-415F-955A-81C5DCC6DAF5}"/>
    <cellStyle name="Texto explicativo" xfId="3" builtinId="53"/>
    <cellStyle name="Texto explicativo 2" xfId="861" xr:uid="{828D32CB-25B7-4384-8313-F88E82499A45}"/>
    <cellStyle name="Texto explicativo 3" xfId="42" xr:uid="{C51BD4E4-E258-43A7-A56A-30C8FE86084E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4" xfId="839" xr:uid="{3B616AF4-1D2C-4E25-AC8F-7A2AE27A667C}"/>
    <cellStyle name="Total 4 2" xfId="1441" xr:uid="{F7058416-1DEA-4D64-8558-4A025184F903}"/>
    <cellStyle name="Total 5" xfId="840" xr:uid="{45D4F003-2AC1-4DA4-B152-EE3C767B8FC6}"/>
    <cellStyle name="Total 5 2" xfId="1442" xr:uid="{E6746754-A6E6-424D-9256-E004D75E74A6}"/>
    <cellStyle name="Total 6" xfId="841" xr:uid="{A0361D75-B6B9-44D9-AC79-B699C0822822}"/>
    <cellStyle name="Total 6 2" xfId="1443" xr:uid="{48634CFD-4D9D-4036-A25F-51AD87B7FB3D}"/>
    <cellStyle name="Total 7" xfId="842" xr:uid="{CD67BD4A-9428-43F9-8372-0ECD5FBFFBC1}"/>
    <cellStyle name="Total 7 2" xfId="1444" xr:uid="{0D1DA306-5792-45B6-902B-C97EDDF7B96A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C1" zoomScale="90" zoomScaleNormal="90" workbookViewId="0">
      <selection activeCell="N7" sqref="N7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2"/>
      <c r="B2" s="72"/>
      <c r="C2" s="85"/>
      <c r="D2" s="86"/>
      <c r="E2" s="72"/>
      <c r="F2" s="66"/>
      <c r="G2" s="66"/>
      <c r="H2" s="67"/>
      <c r="I2" s="129" t="s">
        <v>17</v>
      </c>
      <c r="J2" s="130"/>
      <c r="K2" s="130"/>
      <c r="L2" s="131"/>
    </row>
    <row r="3" spans="1:15" x14ac:dyDescent="0.25">
      <c r="A3" s="132" t="s">
        <v>15</v>
      </c>
      <c r="B3" s="135" t="s">
        <v>0</v>
      </c>
      <c r="C3" s="137" t="s">
        <v>1</v>
      </c>
      <c r="D3" s="76" t="s">
        <v>2</v>
      </c>
      <c r="E3" s="74" t="s">
        <v>3</v>
      </c>
      <c r="F3" s="32" t="s">
        <v>50</v>
      </c>
      <c r="G3" s="1" t="s">
        <v>4</v>
      </c>
      <c r="H3" s="2" t="s">
        <v>5</v>
      </c>
      <c r="I3" s="65" t="s">
        <v>38</v>
      </c>
      <c r="J3" s="64" t="s">
        <v>4</v>
      </c>
      <c r="K3" s="64" t="s">
        <v>37</v>
      </c>
      <c r="L3" s="53" t="s">
        <v>50</v>
      </c>
      <c r="N3" s="134" t="s">
        <v>66</v>
      </c>
      <c r="O3" s="134"/>
    </row>
    <row r="4" spans="1:15" ht="14.4" x14ac:dyDescent="0.3">
      <c r="A4" s="133"/>
      <c r="B4" s="136"/>
      <c r="C4" s="138"/>
      <c r="D4" s="77" t="s">
        <v>6</v>
      </c>
      <c r="E4" s="75" t="s">
        <v>7</v>
      </c>
      <c r="F4" s="33" t="s">
        <v>57</v>
      </c>
      <c r="G4" s="3" t="s">
        <v>65</v>
      </c>
      <c r="H4" s="4" t="s">
        <v>8</v>
      </c>
      <c r="I4" s="80" t="s">
        <v>14</v>
      </c>
      <c r="J4" s="78" t="s">
        <v>14</v>
      </c>
      <c r="K4" s="78" t="s">
        <v>14</v>
      </c>
      <c r="L4" s="79" t="s">
        <v>14</v>
      </c>
      <c r="N4" s="10" t="s">
        <v>77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ROUND(VLOOKUP($C5,Px!$B$13:$K$16,9,0),4)</f>
        <v>4995.0767999999998</v>
      </c>
      <c r="E5" s="91">
        <f>ROUND(VLOOKUP($C5,Px!$B$13:$K$16,10,0),3)</f>
        <v>55.469000000000001</v>
      </c>
      <c r="F5" s="54"/>
      <c r="G5" s="7"/>
      <c r="H5" s="120">
        <f>COPELEC!I6/1000</f>
        <v>137.74058344195649</v>
      </c>
      <c r="I5" s="101">
        <f t="shared" ref="I5:I14" si="0">H5*E5*1000</f>
        <v>7640332.422941885</v>
      </c>
      <c r="J5" s="102">
        <f t="shared" ref="J5:J14" si="1">G5*D5*1000</f>
        <v>0</v>
      </c>
      <c r="K5" s="105"/>
      <c r="L5" s="103">
        <f t="shared" ref="L5:L14" si="2">H5*F5*1000</f>
        <v>0</v>
      </c>
      <c r="N5" s="11" t="str">
        <f>"Active Energy: "&amp;TEXT(H17*1000,"###,###")&amp;" kWh"</f>
        <v>Active Energy: 516,204 kWh</v>
      </c>
      <c r="O5" s="12">
        <f>I17</f>
        <v>28847365.406795993</v>
      </c>
    </row>
    <row r="6" spans="1:15" x14ac:dyDescent="0.25">
      <c r="A6" t="s">
        <v>44</v>
      </c>
      <c r="B6" t="s">
        <v>9</v>
      </c>
      <c r="C6" s="8" t="s">
        <v>43</v>
      </c>
      <c r="D6" s="16">
        <f>ROUND(VLOOKUP($C6,Px!$B$13:$K$16,9,0),4)</f>
        <v>5470.0618000000004</v>
      </c>
      <c r="E6" s="92">
        <f>ROUND(VLOOKUP($C6,Px!$B$13:$K$16,10,0),3)</f>
        <v>60.978999999999999</v>
      </c>
      <c r="F6" s="55"/>
      <c r="G6" s="9"/>
      <c r="H6" s="121">
        <f>COPELEC!F6/1000</f>
        <v>4.8063995911157642</v>
      </c>
      <c r="I6" s="104">
        <f t="shared" si="0"/>
        <v>293089.44066664815</v>
      </c>
      <c r="J6" s="105">
        <f t="shared" si="1"/>
        <v>0</v>
      </c>
      <c r="K6" s="105"/>
      <c r="L6" s="106">
        <f t="shared" si="2"/>
        <v>0</v>
      </c>
      <c r="N6" s="11" t="str">
        <f>"Capacity: "&amp;TEXT(G17*1000,"#,###")&amp;" kW"</f>
        <v>Capacity: 1,112 kW</v>
      </c>
      <c r="O6" s="12">
        <f>J17</f>
        <v>5603895.0490941936</v>
      </c>
    </row>
    <row r="7" spans="1:15" x14ac:dyDescent="0.25">
      <c r="A7" t="s">
        <v>44</v>
      </c>
      <c r="B7" t="s">
        <v>9</v>
      </c>
      <c r="C7" s="8" t="s">
        <v>16</v>
      </c>
      <c r="D7" s="16">
        <f>ROUND(VLOOKUP($C7,Px!$B$13:$K$16,9,0),4)</f>
        <v>5683.2034000000003</v>
      </c>
      <c r="E7" s="92">
        <f>ROUND(VLOOKUP($C7,Px!$B$13:$K$16,10,0),3)</f>
        <v>60.826999999999998</v>
      </c>
      <c r="F7" s="55"/>
      <c r="G7" s="9"/>
      <c r="H7" s="121">
        <f>COPELEC!C6/1000</f>
        <v>6.0279159183162676</v>
      </c>
      <c r="I7" s="104">
        <f t="shared" si="0"/>
        <v>366660.04156342358</v>
      </c>
      <c r="J7" s="105">
        <f t="shared" si="1"/>
        <v>0</v>
      </c>
      <c r="K7" s="105"/>
      <c r="L7" s="106">
        <f t="shared" si="2"/>
        <v>0</v>
      </c>
      <c r="N7" s="11" t="s">
        <v>13</v>
      </c>
      <c r="O7" s="12">
        <f>K17</f>
        <v>0</v>
      </c>
    </row>
    <row r="8" spans="1:15" x14ac:dyDescent="0.25">
      <c r="A8" t="s">
        <v>44</v>
      </c>
      <c r="B8" t="s">
        <v>9</v>
      </c>
      <c r="C8" s="8" t="s">
        <v>73</v>
      </c>
      <c r="D8" s="16">
        <f>ROUND(VLOOKUP($C8,Px!$B$13:$K$16,9,0),4)</f>
        <v>5730.1862000000001</v>
      </c>
      <c r="E8" s="92">
        <f>ROUND(VLOOKUP($C8,Px!$B$13:$K$16,10,0),3)</f>
        <v>61.582000000000001</v>
      </c>
      <c r="F8" s="55"/>
      <c r="G8" s="9"/>
      <c r="H8" s="121">
        <f>COPELEC!L6/1000</f>
        <v>0.46811862557301237</v>
      </c>
      <c r="I8" s="104">
        <f t="shared" ref="I8:I12" si="3">H8*E8*1000</f>
        <v>28827.681200037248</v>
      </c>
      <c r="J8" s="105">
        <f t="shared" ref="J8:J12" si="4">G8*D8*1000</f>
        <v>0</v>
      </c>
      <c r="K8" s="105"/>
      <c r="L8" s="106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ROUND(VLOOKUP($C9,Px!$B$13:$K$16,9,0),4)</f>
        <v>4995.0767999999998</v>
      </c>
      <c r="E9" s="92">
        <f>ROUND(VLOOKUP($C9,Px!$B$13:$K$16,10,0),3)</f>
        <v>55.469000000000001</v>
      </c>
      <c r="F9" s="55"/>
      <c r="G9" s="9"/>
      <c r="H9" s="121">
        <f>COPELEC!J7/1000</f>
        <v>204.81547193379612</v>
      </c>
      <c r="I9" s="104">
        <f t="shared" si="3"/>
        <v>11360909.412695738</v>
      </c>
      <c r="J9" s="105">
        <f t="shared" si="4"/>
        <v>0</v>
      </c>
      <c r="K9" s="105"/>
      <c r="L9" s="106">
        <f t="shared" si="5"/>
        <v>0</v>
      </c>
      <c r="N9" s="13" t="s">
        <v>12</v>
      </c>
      <c r="O9" s="14">
        <f>SUM(O5:O8)</f>
        <v>34451260.455890186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ROUND(VLOOKUP($C10,Px!$B$13:$K$16,9,0),4)</f>
        <v>5470.0618000000004</v>
      </c>
      <c r="E10" s="92">
        <f>ROUND(VLOOKUP($C10,Px!$B$13:$K$16,10,0),3)</f>
        <v>60.978999999999999</v>
      </c>
      <c r="F10" s="55"/>
      <c r="G10" s="9"/>
      <c r="H10" s="121">
        <f>COPELEC!G7/1000</f>
        <v>7.2091027583195615</v>
      </c>
      <c r="I10" s="104">
        <f t="shared" si="3"/>
        <v>439603.87709956855</v>
      </c>
      <c r="J10" s="105">
        <f t="shared" si="4"/>
        <v>0</v>
      </c>
      <c r="K10" s="105"/>
      <c r="L10" s="106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ROUND(VLOOKUP($C11,Px!$B$13:$K$16,9,0),4)</f>
        <v>5683.2034000000003</v>
      </c>
      <c r="E11" s="92">
        <f>ROUND(VLOOKUP($C11,Px!$B$13:$K$16,10,0),3)</f>
        <v>60.826999999999998</v>
      </c>
      <c r="F11" s="55"/>
      <c r="G11" s="9"/>
      <c r="H11" s="121">
        <f>COPELEC!D7/1000</f>
        <v>9.0135285757127459</v>
      </c>
      <c r="I11" s="104">
        <f t="shared" si="3"/>
        <v>548265.90267487918</v>
      </c>
      <c r="J11" s="105">
        <f t="shared" si="4"/>
        <v>0</v>
      </c>
      <c r="K11" s="105"/>
      <c r="L11" s="106">
        <f t="shared" si="5"/>
        <v>0</v>
      </c>
    </row>
    <row r="12" spans="1:15" x14ac:dyDescent="0.25">
      <c r="A12" t="s">
        <v>44</v>
      </c>
      <c r="B12" t="s">
        <v>10</v>
      </c>
      <c r="C12" s="8" t="s">
        <v>73</v>
      </c>
      <c r="D12" s="16">
        <f>ROUND(VLOOKUP($C12,Px!$B$13:$K$16,9,0),4)</f>
        <v>5730.1862000000001</v>
      </c>
      <c r="E12" s="92">
        <f>ROUND(VLOOKUP($C12,Px!$B$13:$K$16,10,0),3)</f>
        <v>61.582000000000001</v>
      </c>
      <c r="F12" s="55"/>
      <c r="G12" s="9"/>
      <c r="H12" s="121">
        <f>COPELEC!M7/1000</f>
        <v>0.69432660629206489</v>
      </c>
      <c r="I12" s="104">
        <f t="shared" si="3"/>
        <v>42758.021068677939</v>
      </c>
      <c r="J12" s="105">
        <f t="shared" si="4"/>
        <v>0</v>
      </c>
      <c r="K12" s="105"/>
      <c r="L12" s="106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ROUND(VLOOKUP($C13,Px!$B$13:$K$16,9,0),4)</f>
        <v>4995.0767999999998</v>
      </c>
      <c r="E13" s="92">
        <f>ROUND(VLOOKUP($C13,Px!$B$13:$K$16,10,0),3)</f>
        <v>55.469000000000001</v>
      </c>
      <c r="F13" s="55"/>
      <c r="G13" s="9">
        <f>COPELEC!V8/1000</f>
        <v>1.0275064645422236</v>
      </c>
      <c r="H13" s="121">
        <f>COPELEC!K8/1000</f>
        <v>134.40637098777071</v>
      </c>
      <c r="I13" s="104">
        <f t="shared" si="0"/>
        <v>7455386.992320654</v>
      </c>
      <c r="J13" s="105">
        <f t="shared" si="1"/>
        <v>5132473.7028848836</v>
      </c>
      <c r="K13" s="124"/>
      <c r="L13" s="106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ROUND(VLOOKUP($C14,Px!$B$13:$K$16,9,0),4)</f>
        <v>5470.0618000000004</v>
      </c>
      <c r="E14" s="92">
        <f>ROUND(VLOOKUP($C14,Px!$B$13:$K$16,10,0),3)</f>
        <v>60.978999999999999</v>
      </c>
      <c r="F14" s="55"/>
      <c r="G14" s="9">
        <f>COPELEC!U8/1000</f>
        <v>3.5850058885928751E-2</v>
      </c>
      <c r="H14" s="121">
        <f>COPELEC!H8/1000</f>
        <v>4.6894851573535368</v>
      </c>
      <c r="I14" s="104">
        <f t="shared" si="0"/>
        <v>285960.11541026132</v>
      </c>
      <c r="J14" s="105">
        <f t="shared" si="1"/>
        <v>196102.03763966943</v>
      </c>
      <c r="K14" s="105"/>
      <c r="L14" s="106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ROUND(VLOOKUP($C15,Px!$B$13:$K$16,9,0),4)</f>
        <v>5683.2034000000003</v>
      </c>
      <c r="E15" s="92">
        <f>ROUND(VLOOKUP($C15,Px!$B$13:$K$16,10,0),3)</f>
        <v>60.826999999999998</v>
      </c>
      <c r="F15" s="55"/>
      <c r="G15" s="9">
        <f>COPELEC!T8/1000</f>
        <v>4.4923133601869267E-2</v>
      </c>
      <c r="H15" s="121">
        <f>COPELEC!E8/1000</f>
        <v>5.8763186113053489</v>
      </c>
      <c r="I15" s="104">
        <f>H15*E15*1000</f>
        <v>357438.83216987044</v>
      </c>
      <c r="J15" s="105">
        <f>G15*D15*1000</f>
        <v>255307.30562479765</v>
      </c>
      <c r="K15" s="105"/>
      <c r="L15" s="106">
        <f>H15*F15*1000</f>
        <v>0</v>
      </c>
    </row>
    <row r="16" spans="1:15" x14ac:dyDescent="0.25">
      <c r="A16" t="s">
        <v>44</v>
      </c>
      <c r="B16" t="s">
        <v>11</v>
      </c>
      <c r="C16" t="s">
        <v>73</v>
      </c>
      <c r="D16" s="96">
        <f>ROUND(VLOOKUP($C16,Px!$B$13:$K$16,9,0),4)</f>
        <v>5730.1862000000001</v>
      </c>
      <c r="E16" s="97">
        <f>ROUND(VLOOKUP($C16,Px!$B$13:$K$16,10,0),3)</f>
        <v>61.582000000000001</v>
      </c>
      <c r="F16" s="98"/>
      <c r="G16" s="94">
        <f>COPELEC!W8/1000</f>
        <v>3.492382663733098E-3</v>
      </c>
      <c r="H16" s="122">
        <f>COPELEC!N8/1000</f>
        <v>0.45683262941036268</v>
      </c>
      <c r="I16" s="99">
        <f>H16*E16*1000</f>
        <v>28132.666984348954</v>
      </c>
      <c r="J16" s="100">
        <f>G16*D16*1000</f>
        <v>20012.002944842639</v>
      </c>
      <c r="K16" s="100"/>
      <c r="L16" s="100">
        <f>H16*F16*1000</f>
        <v>0</v>
      </c>
      <c r="M16" s="107"/>
    </row>
    <row r="17" spans="1:15" ht="14.4" x14ac:dyDescent="0.3">
      <c r="A17" s="18"/>
      <c r="B17" s="18"/>
      <c r="C17" s="18"/>
      <c r="D17" s="18"/>
      <c r="E17" s="52"/>
      <c r="F17" s="93" t="s">
        <v>12</v>
      </c>
      <c r="G17" s="115">
        <f>SUM(G5:G16)</f>
        <v>1.1117720396937547</v>
      </c>
      <c r="H17" s="123">
        <f t="shared" ref="H17:K17" si="6">SUM(H5:H16)</f>
        <v>516.20445483692185</v>
      </c>
      <c r="I17" s="113">
        <f>SUM(I5:I16)</f>
        <v>28847365.406795993</v>
      </c>
      <c r="J17" s="113">
        <f>SUM(J5:J16)</f>
        <v>5603895.0490941936</v>
      </c>
      <c r="K17" s="113">
        <f t="shared" si="6"/>
        <v>0</v>
      </c>
      <c r="L17" s="114">
        <f>SUM(L5:L16)</f>
        <v>0</v>
      </c>
    </row>
    <row r="19" spans="1:15" x14ac:dyDescent="0.25">
      <c r="E19" s="11" t="s">
        <v>70</v>
      </c>
      <c r="F19" t="s">
        <v>71</v>
      </c>
    </row>
    <row r="23" spans="1:15" ht="13.8" x14ac:dyDescent="0.25">
      <c r="I23" s="73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B4" sqref="B4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81</v>
      </c>
      <c r="C3" s="139" t="s">
        <v>46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/>
      <c r="P3" s="139" t="s">
        <v>24</v>
      </c>
      <c r="Q3" s="140"/>
      <c r="R3" s="140"/>
      <c r="S3" s="140"/>
      <c r="T3" s="140"/>
      <c r="U3" s="140"/>
      <c r="V3" s="140"/>
      <c r="W3" s="141"/>
      <c r="Z3" s="35"/>
      <c r="AA3" s="36"/>
    </row>
    <row r="4" spans="1:27" ht="15" thickBot="1" x14ac:dyDescent="0.35">
      <c r="C4" s="142" t="s">
        <v>16</v>
      </c>
      <c r="D4" s="142"/>
      <c r="E4" s="142"/>
      <c r="F4" s="142" t="s">
        <v>43</v>
      </c>
      <c r="G4" s="142"/>
      <c r="H4" s="142"/>
      <c r="I4" s="142" t="s">
        <v>42</v>
      </c>
      <c r="J4" s="142"/>
      <c r="K4" s="142"/>
      <c r="L4" s="142" t="s">
        <v>73</v>
      </c>
      <c r="M4" s="142"/>
      <c r="N4" s="142"/>
      <c r="O4" s="143" t="s">
        <v>47</v>
      </c>
      <c r="P4" s="139" t="s">
        <v>48</v>
      </c>
      <c r="Q4" s="140"/>
      <c r="R4" s="140"/>
      <c r="S4" s="141"/>
      <c r="T4" s="139" t="s">
        <v>49</v>
      </c>
      <c r="U4" s="140"/>
      <c r="V4" s="140"/>
      <c r="W4" s="141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4"/>
      <c r="P5" s="43" t="s">
        <v>16</v>
      </c>
      <c r="Q5" s="43" t="s">
        <v>43</v>
      </c>
      <c r="R5" s="43" t="s">
        <v>42</v>
      </c>
      <c r="S5" s="44" t="s">
        <v>73</v>
      </c>
      <c r="T5" s="43" t="s">
        <v>16</v>
      </c>
      <c r="U5" s="44" t="s">
        <v>43</v>
      </c>
      <c r="V5" s="44" t="s">
        <v>42</v>
      </c>
      <c r="W5" s="44" t="s">
        <v>73</v>
      </c>
      <c r="AA5" s="37"/>
    </row>
    <row r="6" spans="1:27" ht="14.4" x14ac:dyDescent="0.3">
      <c r="A6" s="45" t="s">
        <v>53</v>
      </c>
      <c r="B6" s="46" t="s">
        <v>54</v>
      </c>
      <c r="C6" s="69">
        <v>6027.9159183162674</v>
      </c>
      <c r="D6" s="70">
        <v>0</v>
      </c>
      <c r="E6" s="70">
        <v>0</v>
      </c>
      <c r="F6" s="70">
        <v>4806.3995911157645</v>
      </c>
      <c r="G6" s="70">
        <v>0</v>
      </c>
      <c r="H6" s="70">
        <v>0</v>
      </c>
      <c r="I6" s="70">
        <v>137740.58344195649</v>
      </c>
      <c r="J6" s="70">
        <v>0</v>
      </c>
      <c r="K6" s="71">
        <v>0</v>
      </c>
      <c r="L6" s="70">
        <v>468.11862557301237</v>
      </c>
      <c r="M6" s="70">
        <v>0</v>
      </c>
      <c r="N6" s="71">
        <v>0</v>
      </c>
      <c r="O6" s="128">
        <f>SUM(C6:N6)</f>
        <v>149043.01757696152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69">
        <v>0</v>
      </c>
      <c r="D7" s="70">
        <v>9013.5285757127458</v>
      </c>
      <c r="E7" s="70">
        <v>0</v>
      </c>
      <c r="F7" s="70">
        <v>0</v>
      </c>
      <c r="G7" s="70">
        <v>7209.1027583195619</v>
      </c>
      <c r="H7" s="70">
        <v>0</v>
      </c>
      <c r="I7" s="70">
        <v>0</v>
      </c>
      <c r="J7" s="70">
        <v>204815.47193379613</v>
      </c>
      <c r="K7" s="71">
        <v>0</v>
      </c>
      <c r="L7" s="70">
        <v>0</v>
      </c>
      <c r="M7" s="70">
        <v>694.32660629206487</v>
      </c>
      <c r="N7" s="71">
        <v>0</v>
      </c>
      <c r="O7" s="128">
        <f t="shared" ref="O7:O8" si="0">SUM(C7:N7)</f>
        <v>221732.42987412051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69">
        <v>0</v>
      </c>
      <c r="D8" s="70">
        <v>0</v>
      </c>
      <c r="E8" s="70">
        <v>5876.3186113053489</v>
      </c>
      <c r="F8" s="70">
        <v>0</v>
      </c>
      <c r="G8" s="70">
        <v>0</v>
      </c>
      <c r="H8" s="70">
        <v>4689.485157353537</v>
      </c>
      <c r="I8" s="70">
        <v>0</v>
      </c>
      <c r="J8" s="70">
        <v>0</v>
      </c>
      <c r="K8" s="71">
        <v>134406.3709877707</v>
      </c>
      <c r="L8" s="70">
        <v>0</v>
      </c>
      <c r="M8" s="70">
        <v>0</v>
      </c>
      <c r="N8" s="71">
        <v>456.8326294103627</v>
      </c>
      <c r="O8" s="128">
        <f t="shared" si="0"/>
        <v>145429.00738583997</v>
      </c>
      <c r="P8" s="47">
        <v>1.1114242335145265E-3</v>
      </c>
      <c r="Q8" s="48">
        <v>9.6000423009667205E-4</v>
      </c>
      <c r="R8" s="48">
        <v>2.3834372490169529E-2</v>
      </c>
      <c r="S8" s="48">
        <v>0</v>
      </c>
      <c r="T8" s="49">
        <v>44.923133601869267</v>
      </c>
      <c r="U8" s="49">
        <v>35.850058885928753</v>
      </c>
      <c r="V8" s="49">
        <v>1027.5064645422235</v>
      </c>
      <c r="W8" s="49">
        <v>3.4923826637330979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zoomScaleNormal="100" workbookViewId="0">
      <selection activeCell="L23" sqref="L23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88"/>
      <c r="F3" s="88"/>
      <c r="G3" s="87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88"/>
      <c r="F4" s="22"/>
      <c r="G4" s="87"/>
      <c r="H4" s="118" t="s">
        <v>76</v>
      </c>
      <c r="I4" s="118" t="s">
        <v>75</v>
      </c>
      <c r="J4" s="118" t="s">
        <v>78</v>
      </c>
      <c r="K4" s="118" t="s">
        <v>79</v>
      </c>
      <c r="L4" s="118" t="s">
        <v>80</v>
      </c>
      <c r="M4" s="118" t="s">
        <v>83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72</v>
      </c>
      <c r="H5" s="108">
        <v>3.3449466699414958</v>
      </c>
      <c r="I5" s="116">
        <v>3.37</v>
      </c>
      <c r="J5" s="109">
        <v>3.3700316074714429</v>
      </c>
      <c r="K5" s="109">
        <v>3.3700316074714429</v>
      </c>
      <c r="L5" s="109">
        <v>3.3780330852376697</v>
      </c>
      <c r="M5" s="109">
        <v>3.413845058967059</v>
      </c>
    </row>
    <row r="6" spans="1:15" ht="13.8" x14ac:dyDescent="0.3">
      <c r="A6" s="23" t="s">
        <v>26</v>
      </c>
      <c r="B6" s="22"/>
      <c r="C6" s="22">
        <v>743.19</v>
      </c>
      <c r="D6" s="24" t="s">
        <v>83</v>
      </c>
      <c r="E6" s="22"/>
      <c r="F6" s="22"/>
      <c r="G6" s="83" t="s">
        <v>68</v>
      </c>
      <c r="H6" s="109">
        <v>0.87534183766412499</v>
      </c>
      <c r="I6" s="117">
        <v>0.83829503674262562</v>
      </c>
      <c r="J6" s="109">
        <v>0.87942121205570145</v>
      </c>
      <c r="K6" s="109">
        <v>0.87943198434289549</v>
      </c>
      <c r="L6" s="109">
        <v>0.90529547693185475</v>
      </c>
      <c r="M6" s="109">
        <v>0.93996007442596441</v>
      </c>
    </row>
    <row r="7" spans="1:15" ht="13.8" x14ac:dyDescent="0.3">
      <c r="A7" s="23" t="s">
        <v>27</v>
      </c>
      <c r="B7" s="22"/>
      <c r="C7" s="111">
        <v>260.47899999999998</v>
      </c>
      <c r="D7" s="24"/>
      <c r="E7" s="22"/>
      <c r="F7" s="22"/>
      <c r="G7" s="84" t="s">
        <v>69</v>
      </c>
      <c r="H7" s="110">
        <v>0.913295382872503</v>
      </c>
      <c r="I7" s="95">
        <v>0.80379824892460383</v>
      </c>
      <c r="J7" s="110">
        <v>0.80379756382292911</v>
      </c>
      <c r="K7" s="110">
        <v>0.80379756382292911</v>
      </c>
      <c r="L7" s="110">
        <v>0.76950071006485832</v>
      </c>
      <c r="M7" s="110">
        <v>0.83945236799718903</v>
      </c>
      <c r="O7" s="68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68"/>
    </row>
    <row r="9" spans="1:15" ht="13.8" x14ac:dyDescent="0.3">
      <c r="A9" s="25" t="s">
        <v>30</v>
      </c>
      <c r="B9" s="26"/>
      <c r="C9" s="30"/>
      <c r="D9" s="31" t="s">
        <v>82</v>
      </c>
      <c r="E9" s="22"/>
      <c r="F9" s="22"/>
      <c r="G9" s="22"/>
      <c r="O9" s="68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1"/>
      <c r="J11" s="58"/>
    </row>
    <row r="12" spans="1:15" ht="27.6" x14ac:dyDescent="0.25">
      <c r="A12" s="59" t="s">
        <v>58</v>
      </c>
      <c r="B12" s="59" t="s">
        <v>31</v>
      </c>
      <c r="C12" s="59" t="s">
        <v>59</v>
      </c>
      <c r="D12" s="59" t="s">
        <v>32</v>
      </c>
      <c r="E12" s="59" t="s">
        <v>67</v>
      </c>
      <c r="F12" s="59" t="s">
        <v>33</v>
      </c>
      <c r="G12" s="59" t="s">
        <v>34</v>
      </c>
      <c r="H12" s="59" t="s">
        <v>35</v>
      </c>
      <c r="I12" s="59" t="s">
        <v>36</v>
      </c>
      <c r="J12" s="89" t="s">
        <v>36</v>
      </c>
      <c r="K12" s="90" t="s">
        <v>60</v>
      </c>
    </row>
    <row r="13" spans="1:15" ht="13.8" x14ac:dyDescent="0.3">
      <c r="A13" s="22" t="s">
        <v>61</v>
      </c>
      <c r="B13" s="22" t="s">
        <v>42</v>
      </c>
      <c r="C13" s="60" t="s">
        <v>62</v>
      </c>
      <c r="D13" s="61">
        <v>0.94830000000000003</v>
      </c>
      <c r="E13" s="61">
        <v>0.87180000000000002</v>
      </c>
      <c r="F13" s="62">
        <f>($C$3*$C$7/$C$8-$M$5)*D13</f>
        <v>79.404282854228256</v>
      </c>
      <c r="G13" s="62">
        <f>$C$4*$C$7/$C$8*E13</f>
        <v>8.0065654008075402</v>
      </c>
      <c r="H13" s="62">
        <f>F13*$C$6/1000</f>
        <v>59.012468974433908</v>
      </c>
      <c r="I13" s="82">
        <f>G13*$C$6</f>
        <v>5950.3993402261558</v>
      </c>
      <c r="J13" s="112">
        <f>I13*$M$7</f>
        <v>4995.0768166817579</v>
      </c>
      <c r="K13" s="63">
        <f>H13*$M$6</f>
        <v>55.469364729268811</v>
      </c>
    </row>
    <row r="14" spans="1:15" ht="13.8" x14ac:dyDescent="0.3">
      <c r="A14" s="22" t="s">
        <v>61</v>
      </c>
      <c r="B14" s="22" t="s">
        <v>43</v>
      </c>
      <c r="C14" s="60" t="s">
        <v>63</v>
      </c>
      <c r="D14" s="61">
        <v>1.0425</v>
      </c>
      <c r="E14" s="61">
        <v>0.95469999999999999</v>
      </c>
      <c r="F14" s="62">
        <f t="shared" ref="F14:F16" si="0">($C$3*$C$7/$C$8-$M$5)*D14</f>
        <v>87.291959164328759</v>
      </c>
      <c r="G14" s="62">
        <f t="shared" ref="G14:G15" si="1">$C$4*$C$7/$C$8*E14</f>
        <v>8.7679146457340646</v>
      </c>
      <c r="H14" s="62">
        <f t="shared" ref="H14:H15" si="2">F14*$C$6/1000</f>
        <v>64.874511131337499</v>
      </c>
      <c r="I14" s="82">
        <f t="shared" ref="I14:I15" si="3">G14*$C$6</f>
        <v>6516.2264855631001</v>
      </c>
      <c r="J14" s="112">
        <f t="shared" ref="J14:J16" si="4">I14*$M$7</f>
        <v>5470.0617537119451</v>
      </c>
      <c r="K14" s="63">
        <f t="shared" ref="K14:K16" si="5">H14*$M$6</f>
        <v>60.979450311360054</v>
      </c>
    </row>
    <row r="15" spans="1:15" ht="13.8" x14ac:dyDescent="0.3">
      <c r="A15" s="22" t="s">
        <v>61</v>
      </c>
      <c r="B15" s="22" t="s">
        <v>16</v>
      </c>
      <c r="C15" s="60" t="s">
        <v>64</v>
      </c>
      <c r="D15" s="61">
        <v>1.0399</v>
      </c>
      <c r="E15" s="61">
        <v>0.9919</v>
      </c>
      <c r="F15" s="62">
        <f t="shared" si="0"/>
        <v>87.074252599506451</v>
      </c>
      <c r="G15" s="62">
        <f t="shared" si="1"/>
        <v>9.1095574914670774</v>
      </c>
      <c r="H15" s="62">
        <f t="shared" si="2"/>
        <v>64.712713789427198</v>
      </c>
      <c r="I15" s="82">
        <f t="shared" si="3"/>
        <v>6770.1320320834175</v>
      </c>
      <c r="J15" s="112">
        <f t="shared" si="4"/>
        <v>5683.2033659860463</v>
      </c>
      <c r="K15" s="63">
        <f t="shared" si="5"/>
        <v>60.827367269816122</v>
      </c>
    </row>
    <row r="16" spans="1:15" ht="13.8" x14ac:dyDescent="0.3">
      <c r="A16" s="22" t="s">
        <v>61</v>
      </c>
      <c r="B16" s="22" t="s">
        <v>73</v>
      </c>
      <c r="C16" s="60" t="s">
        <v>74</v>
      </c>
      <c r="D16" s="61">
        <v>1.0528</v>
      </c>
      <c r="E16" s="61">
        <v>1.0001</v>
      </c>
      <c r="F16" s="62">
        <f t="shared" si="0"/>
        <v>88.154412094201732</v>
      </c>
      <c r="G16" s="62">
        <f>$C$4*$C$7/$C$8*E16</f>
        <v>9.1848658606877951</v>
      </c>
      <c r="H16" s="62">
        <f>F16*$C$6/1000</f>
        <v>65.515477524289793</v>
      </c>
      <c r="I16" s="82">
        <f>G16*$C$6</f>
        <v>6826.1004590045632</v>
      </c>
      <c r="J16" s="112">
        <f t="shared" si="4"/>
        <v>5730.1861944980792</v>
      </c>
      <c r="K16" s="63">
        <f t="shared" si="5"/>
        <v>61.581933129784034</v>
      </c>
    </row>
    <row r="17" spans="5:11" ht="13.8" x14ac:dyDescent="0.3">
      <c r="E17" s="68"/>
      <c r="I17" s="68"/>
      <c r="K17" s="119"/>
    </row>
    <row r="18" spans="5:11" x14ac:dyDescent="0.25">
      <c r="E18" s="68"/>
      <c r="I18" s="68"/>
    </row>
    <row r="19" spans="5:11" ht="13.8" x14ac:dyDescent="0.3">
      <c r="E19" s="126"/>
      <c r="F19" s="126"/>
      <c r="H19" s="62"/>
      <c r="I19" s="68"/>
      <c r="K19" s="63"/>
    </row>
    <row r="20" spans="5:11" x14ac:dyDescent="0.25">
      <c r="E20" s="126"/>
      <c r="F20" s="126"/>
    </row>
    <row r="21" spans="5:11" ht="13.8" x14ac:dyDescent="0.3">
      <c r="E21" s="125"/>
      <c r="F21" s="126"/>
    </row>
    <row r="22" spans="5:11" x14ac:dyDescent="0.25">
      <c r="E22" s="126"/>
      <c r="F22" s="126"/>
    </row>
    <row r="24" spans="5:11" ht="13.8" x14ac:dyDescent="0.3">
      <c r="E24" s="61"/>
      <c r="F24" s="61"/>
      <c r="I24" s="22"/>
    </row>
    <row r="25" spans="5:11" ht="13.8" x14ac:dyDescent="0.3">
      <c r="E25" s="61"/>
      <c r="F25" s="61"/>
      <c r="I25" s="22"/>
    </row>
    <row r="26" spans="5:11" ht="13.8" x14ac:dyDescent="0.3">
      <c r="E26" s="61"/>
      <c r="F26" s="61"/>
      <c r="I26" s="22"/>
    </row>
    <row r="27" spans="5:11" ht="13.8" x14ac:dyDescent="0.3">
      <c r="E27" s="61"/>
      <c r="F27" s="61"/>
      <c r="I27" s="22"/>
    </row>
    <row r="29" spans="5:11" x14ac:dyDescent="0.25">
      <c r="E29" s="127"/>
      <c r="F29" s="127"/>
    </row>
    <row r="30" spans="5:11" x14ac:dyDescent="0.25">
      <c r="E30" s="127"/>
      <c r="F30" s="127"/>
    </row>
    <row r="31" spans="5:11" x14ac:dyDescent="0.25">
      <c r="E31" s="127"/>
      <c r="F31" s="127"/>
    </row>
    <row r="32" spans="5:11" x14ac:dyDescent="0.25">
      <c r="E32" s="127"/>
      <c r="F32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2021-08-11T20:24:02Z</dcterms:modified>
</cp:coreProperties>
</file>