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T:\Operación Comercial\Clientes\15_Aela_Generación\Disco Aela\15. Actividades Periodicas\2. CNE\6. Registo de contratos\2021\10-Oct\"/>
    </mc:Choice>
  </mc:AlternateContent>
  <xr:revisionPtr revIDLastSave="0" documentId="13_ncr:1_{A137EE1E-2D4F-472F-BE71-DC2849B80B70}" xr6:coauthVersionLast="47" xr6:coauthVersionMax="47" xr10:uidLastSave="{00000000-0000-0000-0000-000000000000}"/>
  <bookViews>
    <workbookView xWindow="-28920" yWindow="-120" windowWidth="29040" windowHeight="15840" xr2:uid="{F2358186-0BE2-4736-A654-4A2DCED7D6D4}"/>
  </bookViews>
  <sheets>
    <sheet name="Montos facturar" sheetId="1" r:id="rId1"/>
    <sheet name="COOPELAN" sheetId="3" r:id="rId2"/>
    <sheet name="Px" sheetId="2" r:id="rId3"/>
  </sheet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4" i="2" l="1"/>
  <c r="F15" i="2"/>
  <c r="F13" i="2"/>
  <c r="L8" i="3" l="1"/>
  <c r="L7" i="3"/>
  <c r="L6" i="3"/>
  <c r="G13" i="1" l="1"/>
  <c r="G12" i="1"/>
  <c r="G11" i="1"/>
  <c r="H13" i="1"/>
  <c r="H12" i="1"/>
  <c r="H11" i="1"/>
  <c r="H10" i="1"/>
  <c r="H9" i="1"/>
  <c r="H8" i="1"/>
  <c r="H7" i="1"/>
  <c r="H6" i="1"/>
  <c r="H5" i="1"/>
  <c r="K14" i="1" l="1"/>
  <c r="O7" i="1" s="1"/>
  <c r="H13" i="2" l="1"/>
  <c r="K13" i="2" s="1"/>
  <c r="H14" i="2" l="1"/>
  <c r="K14" i="2" s="1"/>
  <c r="H15" i="2"/>
  <c r="K15" i="2" s="1"/>
  <c r="E13" i="1" l="1"/>
  <c r="E10" i="1"/>
  <c r="E7" i="1"/>
  <c r="E12" i="1"/>
  <c r="G14" i="2"/>
  <c r="I14" i="2" s="1"/>
  <c r="J14" i="2" s="1"/>
  <c r="G15" i="2"/>
  <c r="I15" i="2" s="1"/>
  <c r="J15" i="2" s="1"/>
  <c r="G13" i="2"/>
  <c r="D13" i="1" l="1"/>
  <c r="D10" i="1"/>
  <c r="J10" i="1" s="1"/>
  <c r="D7" i="1"/>
  <c r="D6" i="1"/>
  <c r="D12" i="1"/>
  <c r="D9" i="1"/>
  <c r="J9" i="1" s="1"/>
  <c r="E8" i="1"/>
  <c r="E5" i="1"/>
  <c r="E11" i="1"/>
  <c r="E6" i="1"/>
  <c r="E9" i="1"/>
  <c r="I13" i="2"/>
  <c r="J13" i="2" s="1"/>
  <c r="D11" i="1" l="1"/>
  <c r="D8" i="1"/>
  <c r="J8" i="1" s="1"/>
  <c r="D5" i="1"/>
  <c r="J5" i="1" s="1"/>
  <c r="J6" i="1"/>
  <c r="J7" i="1"/>
  <c r="J13" i="1" l="1"/>
  <c r="J12" i="1"/>
  <c r="I13" i="1"/>
  <c r="I12" i="1"/>
  <c r="I11" i="1"/>
  <c r="I7" i="1"/>
  <c r="I6" i="1"/>
  <c r="H14" i="1" l="1"/>
  <c r="N5" i="1" s="1"/>
  <c r="G14" i="1"/>
  <c r="N6" i="1" s="1"/>
  <c r="L10" i="1"/>
  <c r="I10" i="1"/>
  <c r="I9" i="1"/>
  <c r="L9" i="1"/>
  <c r="L8" i="1"/>
  <c r="I8" i="1"/>
  <c r="I5" i="1"/>
  <c r="L12" i="1"/>
  <c r="L5" i="1"/>
  <c r="L13" i="1"/>
  <c r="L6" i="1"/>
  <c r="L7" i="1"/>
  <c r="L11" i="1"/>
  <c r="J11" i="1"/>
  <c r="J14" i="1" s="1"/>
  <c r="O6" i="1" s="1"/>
  <c r="I14" i="1" l="1"/>
  <c r="O5" i="1" s="1"/>
  <c r="L14" i="1"/>
  <c r="O8" i="1" s="1"/>
  <c r="O9" i="1" l="1"/>
</calcChain>
</file>

<file path=xl/sharedStrings.xml><?xml version="1.0" encoding="utf-8"?>
<sst xmlns="http://schemas.openxmlformats.org/spreadsheetml/2006/main" count="130" uniqueCount="78">
  <si>
    <t>Bloque</t>
  </si>
  <si>
    <t>Barra</t>
  </si>
  <si>
    <t>PRECIO POTENCIA</t>
  </si>
  <si>
    <t>PRECIO ENERGÍA</t>
  </si>
  <si>
    <t>POTENCIA</t>
  </si>
  <si>
    <t>ENERGIA</t>
  </si>
  <si>
    <t>[$/kW/mes]</t>
  </si>
  <si>
    <t>[$/kWh]</t>
  </si>
  <si>
    <t>[MWh]</t>
  </si>
  <si>
    <t>BS4A</t>
  </si>
  <si>
    <t>BS4B</t>
  </si>
  <si>
    <t>BS4C</t>
  </si>
  <si>
    <t>Total</t>
  </si>
  <si>
    <t>Reactive Energy</t>
  </si>
  <si>
    <t>[$]</t>
  </si>
  <si>
    <t>Dx.</t>
  </si>
  <si>
    <t>Factura</t>
  </si>
  <si>
    <t>Concepto</t>
  </si>
  <si>
    <t>Valor</t>
  </si>
  <si>
    <t>Fuente</t>
  </si>
  <si>
    <t>Energia</t>
  </si>
  <si>
    <t>US$/MWh</t>
  </si>
  <si>
    <t>PPA</t>
  </si>
  <si>
    <t>Potencia</t>
  </si>
  <si>
    <t>US$/kW/mes</t>
  </si>
  <si>
    <t>TC</t>
  </si>
  <si>
    <t>CPI</t>
  </si>
  <si>
    <t>CPI0</t>
  </si>
  <si>
    <t>(Feb-15 - Jul-15)</t>
  </si>
  <si>
    <t>Factores modulación</t>
  </si>
  <si>
    <t>Punto Compra</t>
  </si>
  <si>
    <t>Fmodulacion E</t>
  </si>
  <si>
    <t>Energia [US$/MWh]</t>
  </si>
  <si>
    <t>Potencia [US$/MWh]</t>
  </si>
  <si>
    <t>Energia [$/kWh]</t>
  </si>
  <si>
    <t>Potencia [$/kWh]</t>
  </si>
  <si>
    <t>REACTIVO</t>
  </si>
  <si>
    <t>ENERGÍA</t>
  </si>
  <si>
    <t>A</t>
  </si>
  <si>
    <t>B</t>
  </si>
  <si>
    <t>C</t>
  </si>
  <si>
    <t>Charrua 220</t>
  </si>
  <si>
    <t>MES</t>
  </si>
  <si>
    <t>ENERGÍA (kwh)</t>
  </si>
  <si>
    <t>TOTAL ENERGÍA</t>
  </si>
  <si>
    <t>kW</t>
  </si>
  <si>
    <t>AAT</t>
  </si>
  <si>
    <t>Generador</t>
  </si>
  <si>
    <t>BLOQUE</t>
  </si>
  <si>
    <t>Aela Generación S.A.</t>
  </si>
  <si>
    <t>4-A</t>
  </si>
  <si>
    <t>4-B</t>
  </si>
  <si>
    <t>4-C</t>
  </si>
  <si>
    <t>[$/KWh]</t>
  </si>
  <si>
    <t>Distribuidora</t>
  </si>
  <si>
    <t>Corr</t>
  </si>
  <si>
    <t>Energía [$/kWh]</t>
  </si>
  <si>
    <t xml:space="preserve">[MW] </t>
  </si>
  <si>
    <t>Facturación con Factor</t>
  </si>
  <si>
    <t>Fmodulacion P</t>
  </si>
  <si>
    <t xml:space="preserve">Factor Ajuste Energía </t>
  </si>
  <si>
    <t>Factor Ajuste Potencia</t>
  </si>
  <si>
    <t xml:space="preserve">Nota: </t>
  </si>
  <si>
    <t>El Precio de la energía incluye el descuento por CET</t>
  </si>
  <si>
    <t>CET [USD/MWh]</t>
  </si>
  <si>
    <t xml:space="preserve"> ITD Julio 2020</t>
  </si>
  <si>
    <t>Conceptos</t>
  </si>
  <si>
    <t>CHARRUA 220</t>
  </si>
  <si>
    <t>CAUTIN 220</t>
  </si>
  <si>
    <t>TEMUCO 220</t>
  </si>
  <si>
    <t>Cautin 220</t>
  </si>
  <si>
    <t>COOPELAN</t>
  </si>
  <si>
    <t>Temuco 220</t>
  </si>
  <si>
    <t>ITD Enero 2021</t>
  </si>
  <si>
    <t>PNP 12T-20 (abr-20 a sep-20)</t>
  </si>
  <si>
    <t>12T/2020</t>
  </si>
  <si>
    <t>ITD Julio 2021</t>
  </si>
  <si>
    <t>Septiembre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</si>
</sst>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_-* #,##0.00_-;\-* #,##0.00_-;_-* &quot;-&quot;??_-;_-@_-"/>
    <numFmt numFmtId="165" formatCode="0.0000"/>
    <numFmt numFmtId="166" formatCode="0.000"/>
    <numFmt numFmtId="167" formatCode="#,##0.0000"/>
    <numFmt numFmtId="168" formatCode="_ * #,##0.000_ ;_ * \-#,##0.000_ ;_ * &quot;-&quot;_ ;_ @_ "/>
    <numFmt numFmtId="169" formatCode="_ * #,##0.00_ ;_ * \-#,##0.00_ ;_ * \-_ ;_ @_ "/>
    <numFmt numFmtId="170" formatCode="#,##0.000"/>
    <numFmt numFmtId="171" formatCode="0.000000"/>
    <numFmt numFmtId="172" formatCode="0.00000"/>
  </numFmts>
  <fonts count="17" x14ac:knownFonts="1">
    <font>
      <sz val="10"/>
      <color theme="1"/>
      <name val="Century Gothic"/>
      <family val="2"/>
    </font>
    <font>
      <b/>
      <sz val="10"/>
      <color theme="1"/>
      <name val="Century Gothic"/>
      <family val="2"/>
    </font>
    <font>
      <b/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FFFFFF"/>
      <name val="Calibri"/>
      <family val="2"/>
    </font>
    <font>
      <sz val="10"/>
      <color theme="1"/>
      <name val="Century Gothic"/>
      <family val="2"/>
    </font>
    <font>
      <i/>
      <sz val="12"/>
      <color rgb="FF7F7F7F"/>
      <name val="Calibri"/>
      <family val="2"/>
      <scheme val="minor"/>
    </font>
    <font>
      <b/>
      <sz val="11"/>
      <color rgb="FF000000"/>
      <name val="Calibri"/>
      <family val="2"/>
    </font>
    <font>
      <b/>
      <sz val="11"/>
      <color rgb="FF000000"/>
      <name val="Calibri"/>
      <family val="2"/>
      <charset val="1"/>
    </font>
    <font>
      <b/>
      <sz val="11"/>
      <color theme="1"/>
      <name val="Calibri"/>
      <family val="2"/>
      <charset val="1"/>
    </font>
    <font>
      <sz val="11"/>
      <color theme="1"/>
      <name val="Calibri"/>
      <family val="2"/>
      <charset val="1"/>
    </font>
    <font>
      <sz val="10"/>
      <color rgb="FF000000"/>
      <name val="Calibri"/>
      <family val="2"/>
    </font>
    <font>
      <sz val="10"/>
      <color rgb="FFA6A6A6"/>
      <name val="Calibri"/>
      <family val="2"/>
    </font>
    <font>
      <sz val="10"/>
      <color theme="0" tint="-0.34998626667073579"/>
      <name val="Calibri"/>
      <family val="2"/>
      <scheme val="minor"/>
    </font>
    <font>
      <sz val="11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CC"/>
      </patternFill>
    </fill>
  </fills>
  <borders count="3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164" fontId="7" fillId="0" borderId="0" applyFont="0" applyFill="0" applyBorder="0" applyAlignment="0" applyProtection="0"/>
    <xf numFmtId="0" fontId="8" fillId="0" borderId="0" applyNumberFormat="0" applyFill="0" applyBorder="0" applyAlignment="0" applyProtection="0"/>
  </cellStyleXfs>
  <cellXfs count="133">
    <xf numFmtId="0" fontId="0" fillId="0" borderId="0" xfId="0"/>
    <xf numFmtId="0" fontId="0" fillId="2" borderId="0" xfId="0" applyFill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4" xfId="0" applyBorder="1"/>
    <xf numFmtId="0" fontId="0" fillId="0" borderId="5" xfId="0" applyBorder="1"/>
    <xf numFmtId="2" fontId="0" fillId="0" borderId="4" xfId="0" applyNumberFormat="1" applyBorder="1" applyAlignment="1">
      <alignment horizontal="center" vertical="center"/>
    </xf>
    <xf numFmtId="0" fontId="0" fillId="0" borderId="1" xfId="0" applyBorder="1"/>
    <xf numFmtId="2" fontId="0" fillId="0" borderId="0" xfId="0" applyNumberFormat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0" fillId="0" borderId="0" xfId="0" applyAlignment="1">
      <alignment horizontal="right"/>
    </xf>
    <xf numFmtId="3" fontId="0" fillId="0" borderId="0" xfId="0" applyNumberFormat="1"/>
    <xf numFmtId="0" fontId="1" fillId="0" borderId="6" xfId="0" applyFont="1" applyBorder="1" applyAlignment="1">
      <alignment horizontal="right"/>
    </xf>
    <xf numFmtId="3" fontId="1" fillId="0" borderId="6" xfId="0" applyNumberFormat="1" applyFont="1" applyBorder="1"/>
    <xf numFmtId="0" fontId="0" fillId="0" borderId="0" xfId="0" applyAlignment="1">
      <alignment vertical="center"/>
    </xf>
    <xf numFmtId="4" fontId="0" fillId="0" borderId="0" xfId="0" applyNumberFormat="1" applyAlignment="1">
      <alignment horizontal="center" vertical="center"/>
    </xf>
    <xf numFmtId="4" fontId="0" fillId="0" borderId="4" xfId="0" applyNumberFormat="1" applyBorder="1" applyAlignment="1">
      <alignment horizontal="center" vertical="center"/>
    </xf>
    <xf numFmtId="0" fontId="0" fillId="0" borderId="6" xfId="0" applyBorder="1"/>
    <xf numFmtId="0" fontId="3" fillId="6" borderId="9" xfId="0" applyFont="1" applyFill="1" applyBorder="1" applyAlignment="1">
      <alignment horizontal="center"/>
    </xf>
    <xf numFmtId="0" fontId="3" fillId="6" borderId="4" xfId="0" applyFont="1" applyFill="1" applyBorder="1" applyAlignment="1">
      <alignment horizontal="center"/>
    </xf>
    <xf numFmtId="0" fontId="3" fillId="6" borderId="5" xfId="0" applyFont="1" applyFill="1" applyBorder="1" applyAlignment="1">
      <alignment horizontal="center"/>
    </xf>
    <xf numFmtId="0" fontId="4" fillId="0" borderId="0" xfId="0" applyFont="1"/>
    <xf numFmtId="0" fontId="4" fillId="0" borderId="10" xfId="0" applyFont="1" applyBorder="1"/>
    <xf numFmtId="0" fontId="4" fillId="0" borderId="1" xfId="0" applyFont="1" applyBorder="1" applyAlignment="1">
      <alignment horizontal="center"/>
    </xf>
    <xf numFmtId="0" fontId="4" fillId="0" borderId="11" xfId="0" applyFont="1" applyBorder="1"/>
    <xf numFmtId="0" fontId="4" fillId="0" borderId="2" xfId="0" applyFont="1" applyBorder="1"/>
    <xf numFmtId="0" fontId="4" fillId="0" borderId="3" xfId="0" applyFont="1" applyBorder="1" applyAlignment="1">
      <alignment horizontal="center"/>
    </xf>
    <xf numFmtId="166" fontId="4" fillId="0" borderId="0" xfId="0" applyNumberFormat="1" applyFont="1"/>
    <xf numFmtId="0" fontId="4" fillId="7" borderId="1" xfId="0" applyFont="1" applyFill="1" applyBorder="1" applyAlignment="1">
      <alignment horizontal="center"/>
    </xf>
    <xf numFmtId="166" fontId="4" fillId="0" borderId="2" xfId="0" applyNumberFormat="1" applyFont="1" applyBorder="1"/>
    <xf numFmtId="0" fontId="4" fillId="7" borderId="3" xfId="0" applyFon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9" fillId="8" borderId="0" xfId="0" applyFont="1" applyFill="1" applyAlignment="1">
      <alignment horizontal="center"/>
    </xf>
    <xf numFmtId="0" fontId="10" fillId="0" borderId="0" xfId="0" applyFont="1"/>
    <xf numFmtId="0" fontId="11" fillId="0" borderId="0" xfId="0" applyFont="1"/>
    <xf numFmtId="0" fontId="12" fillId="0" borderId="0" xfId="0" applyFont="1"/>
    <xf numFmtId="0" fontId="10" fillId="9" borderId="17" xfId="0" applyFont="1" applyFill="1" applyBorder="1" applyAlignment="1">
      <alignment horizontal="center" vertical="center"/>
    </xf>
    <xf numFmtId="0" fontId="10" fillId="9" borderId="18" xfId="0" applyFont="1" applyFill="1" applyBorder="1" applyAlignment="1">
      <alignment horizontal="center" vertical="center"/>
    </xf>
    <xf numFmtId="0" fontId="10" fillId="9" borderId="19" xfId="2" applyFont="1" applyFill="1" applyBorder="1" applyAlignment="1">
      <alignment horizontal="center" vertical="center"/>
    </xf>
    <xf numFmtId="0" fontId="10" fillId="9" borderId="20" xfId="2" applyFont="1" applyFill="1" applyBorder="1" applyAlignment="1">
      <alignment horizontal="center" vertical="center"/>
    </xf>
    <xf numFmtId="0" fontId="10" fillId="9" borderId="21" xfId="2" applyFont="1" applyFill="1" applyBorder="1" applyAlignment="1">
      <alignment horizontal="center" vertical="center"/>
    </xf>
    <xf numFmtId="0" fontId="10" fillId="0" borderId="23" xfId="0" applyFont="1" applyBorder="1" applyAlignment="1">
      <alignment horizontal="center"/>
    </xf>
    <xf numFmtId="0" fontId="10" fillId="0" borderId="23" xfId="0" applyFont="1" applyBorder="1"/>
    <xf numFmtId="0" fontId="0" fillId="9" borderId="24" xfId="0" applyFill="1" applyBorder="1" applyAlignment="1">
      <alignment horizontal="center" vertical="center"/>
    </xf>
    <xf numFmtId="0" fontId="0" fillId="9" borderId="7" xfId="0" applyFill="1" applyBorder="1" applyAlignment="1">
      <alignment horizontal="center" vertical="center"/>
    </xf>
    <xf numFmtId="169" fontId="0" fillId="0" borderId="16" xfId="2" applyNumberFormat="1" applyFont="1" applyBorder="1"/>
    <xf numFmtId="164" fontId="0" fillId="0" borderId="0" xfId="1" applyFont="1"/>
    <xf numFmtId="168" fontId="12" fillId="0" borderId="0" xfId="0" applyNumberFormat="1" applyFont="1"/>
    <xf numFmtId="0" fontId="0" fillId="2" borderId="1" xfId="0" applyFill="1" applyBorder="1" applyAlignment="1">
      <alignment horizontal="center" vertical="center"/>
    </xf>
    <xf numFmtId="166" fontId="0" fillId="0" borderId="28" xfId="0" applyNumberFormat="1" applyBorder="1" applyAlignment="1">
      <alignment horizontal="center" vertical="center"/>
    </xf>
    <xf numFmtId="166" fontId="0" fillId="0" borderId="29" xfId="0" applyNumberFormat="1" applyBorder="1" applyAlignment="1">
      <alignment horizontal="center" vertical="center"/>
    </xf>
    <xf numFmtId="0" fontId="13" fillId="0" borderId="0" xfId="0" applyFont="1"/>
    <xf numFmtId="0" fontId="14" fillId="0" borderId="0" xfId="0" applyFont="1"/>
    <xf numFmtId="0" fontId="13" fillId="0" borderId="1" xfId="0" applyFont="1" applyBorder="1"/>
    <xf numFmtId="0" fontId="6" fillId="6" borderId="2" xfId="0" applyFont="1" applyFill="1" applyBorder="1" applyAlignment="1">
      <alignment horizontal="center" vertical="center" wrapText="1"/>
    </xf>
    <xf numFmtId="0" fontId="15" fillId="0" borderId="0" xfId="0" applyFont="1"/>
    <xf numFmtId="167" fontId="4" fillId="0" borderId="0" xfId="0" applyNumberFormat="1" applyFont="1" applyAlignment="1">
      <alignment horizontal="center"/>
    </xf>
    <xf numFmtId="166" fontId="4" fillId="0" borderId="0" xfId="0" applyNumberFormat="1" applyFont="1" applyAlignment="1">
      <alignment horizontal="center"/>
    </xf>
    <xf numFmtId="170" fontId="4" fillId="0" borderId="1" xfId="0" applyNumberFormat="1" applyFont="1" applyBorder="1" applyAlignment="1">
      <alignment horizontal="center"/>
    </xf>
    <xf numFmtId="0" fontId="0" fillId="2" borderId="0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1" fillId="0" borderId="2" xfId="0" applyFont="1" applyFill="1" applyBorder="1" applyAlignment="1">
      <alignment vertical="center"/>
    </xf>
    <xf numFmtId="166" fontId="0" fillId="0" borderId="0" xfId="0" applyNumberFormat="1"/>
    <xf numFmtId="3" fontId="0" fillId="0" borderId="27" xfId="2" applyNumberFormat="1" applyFont="1" applyBorder="1" applyAlignment="1">
      <alignment horizontal="center"/>
    </xf>
    <xf numFmtId="3" fontId="0" fillId="0" borderId="25" xfId="2" applyNumberFormat="1" applyFont="1" applyBorder="1" applyAlignment="1">
      <alignment horizontal="center"/>
    </xf>
    <xf numFmtId="3" fontId="0" fillId="0" borderId="16" xfId="2" applyNumberFormat="1" applyFont="1" applyBorder="1" applyAlignment="1">
      <alignment horizontal="center"/>
    </xf>
    <xf numFmtId="3" fontId="0" fillId="0" borderId="26" xfId="2" applyNumberFormat="1" applyFont="1" applyBorder="1" applyAlignment="1">
      <alignment horizontal="center"/>
    </xf>
    <xf numFmtId="0" fontId="0" fillId="0" borderId="0" xfId="0" applyBorder="1" applyAlignment="1">
      <alignment vertical="center"/>
    </xf>
    <xf numFmtId="0" fontId="16" fillId="0" borderId="0" xfId="0" applyFont="1"/>
    <xf numFmtId="0" fontId="0" fillId="2" borderId="5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13" fillId="0" borderId="0" xfId="0" applyFont="1" applyBorder="1"/>
    <xf numFmtId="4" fontId="4" fillId="0" borderId="0" xfId="0" applyNumberFormat="1" applyFont="1" applyAlignment="1">
      <alignment horizontal="center"/>
    </xf>
    <xf numFmtId="0" fontId="3" fillId="6" borderId="10" xfId="0" applyFont="1" applyFill="1" applyBorder="1" applyAlignment="1">
      <alignment horizontal="center"/>
    </xf>
    <xf numFmtId="0" fontId="3" fillId="6" borderId="11" xfId="0" applyFont="1" applyFill="1" applyBorder="1" applyAlignment="1">
      <alignment horizontal="center"/>
    </xf>
    <xf numFmtId="0" fontId="0" fillId="0" borderId="0" xfId="0" applyFill="1" applyBorder="1"/>
    <xf numFmtId="165" fontId="1" fillId="0" borderId="0" xfId="0" applyNumberFormat="1" applyFont="1" applyFill="1" applyBorder="1" applyAlignment="1">
      <alignment horizontal="center"/>
    </xf>
    <xf numFmtId="171" fontId="4" fillId="0" borderId="0" xfId="0" applyNumberFormat="1" applyFont="1"/>
    <xf numFmtId="165" fontId="4" fillId="0" borderId="0" xfId="0" applyNumberFormat="1" applyFont="1"/>
    <xf numFmtId="0" fontId="6" fillId="6" borderId="10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166" fontId="0" fillId="0" borderId="5" xfId="0" applyNumberFormat="1" applyBorder="1" applyAlignment="1">
      <alignment horizontal="center" vertical="center"/>
    </xf>
    <xf numFmtId="166" fontId="0" fillId="0" borderId="1" xfId="0" applyNumberFormat="1" applyBorder="1" applyAlignment="1">
      <alignment horizontal="center" vertical="center"/>
    </xf>
    <xf numFmtId="2" fontId="0" fillId="0" borderId="5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3" fontId="0" fillId="0" borderId="9" xfId="0" applyNumberFormat="1" applyBorder="1" applyAlignment="1">
      <alignment horizontal="center" vertical="center"/>
    </xf>
    <xf numFmtId="3" fontId="0" fillId="0" borderId="4" xfId="0" applyNumberFormat="1" applyBorder="1" applyAlignment="1">
      <alignment horizontal="center" vertical="center"/>
    </xf>
    <xf numFmtId="3" fontId="0" fillId="0" borderId="5" xfId="0" applyNumberFormat="1" applyBorder="1" applyAlignment="1">
      <alignment horizontal="center" vertical="center"/>
    </xf>
    <xf numFmtId="3" fontId="0" fillId="0" borderId="10" xfId="0" applyNumberFormat="1" applyBorder="1" applyAlignment="1">
      <alignment horizontal="center" vertical="center"/>
    </xf>
    <xf numFmtId="3" fontId="0" fillId="0" borderId="0" xfId="0" applyNumberFormat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0" fontId="0" fillId="0" borderId="10" xfId="0" applyBorder="1"/>
    <xf numFmtId="4" fontId="0" fillId="0" borderId="0" xfId="0" applyNumberFormat="1"/>
    <xf numFmtId="166" fontId="0" fillId="0" borderId="5" xfId="0" applyNumberFormat="1" applyBorder="1" applyAlignment="1">
      <alignment horizontal="center"/>
    </xf>
    <xf numFmtId="166" fontId="5" fillId="0" borderId="0" xfId="0" applyNumberFormat="1" applyFont="1"/>
    <xf numFmtId="4" fontId="4" fillId="0" borderId="10" xfId="0" applyNumberFormat="1" applyFont="1" applyBorder="1" applyAlignment="1">
      <alignment horizontal="center"/>
    </xf>
    <xf numFmtId="3" fontId="2" fillId="3" borderId="8" xfId="0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/>
    </xf>
    <xf numFmtId="0" fontId="2" fillId="3" borderId="16" xfId="0" applyFont="1" applyFill="1" applyBorder="1" applyAlignment="1">
      <alignment horizontal="right"/>
    </xf>
    <xf numFmtId="170" fontId="2" fillId="3" borderId="6" xfId="0" applyNumberFormat="1" applyFont="1" applyFill="1" applyBorder="1" applyAlignment="1">
      <alignment horizontal="center" vertical="center"/>
    </xf>
    <xf numFmtId="3" fontId="2" fillId="3" borderId="6" xfId="0" applyNumberFormat="1" applyFont="1" applyFill="1" applyBorder="1" applyAlignment="1">
      <alignment horizontal="center" vertical="center"/>
    </xf>
    <xf numFmtId="172" fontId="0" fillId="0" borderId="1" xfId="0" applyNumberFormat="1" applyBorder="1" applyAlignment="1">
      <alignment horizontal="center"/>
    </xf>
    <xf numFmtId="172" fontId="0" fillId="0" borderId="3" xfId="0" applyNumberFormat="1" applyBorder="1" applyAlignment="1">
      <alignment horizontal="center"/>
    </xf>
    <xf numFmtId="16" fontId="0" fillId="0" borderId="0" xfId="0" applyNumberFormat="1"/>
    <xf numFmtId="170" fontId="2" fillId="3" borderId="8" xfId="0" applyNumberFormat="1" applyFont="1" applyFill="1" applyBorder="1" applyAlignment="1">
      <alignment horizontal="center" vertical="center"/>
    </xf>
    <xf numFmtId="165" fontId="0" fillId="0" borderId="0" xfId="0" applyNumberFormat="1"/>
    <xf numFmtId="0" fontId="6" fillId="6" borderId="16" xfId="0" applyFont="1" applyFill="1" applyBorder="1" applyAlignment="1">
      <alignment horizontal="center" vertical="center" wrapText="1"/>
    </xf>
    <xf numFmtId="166" fontId="0" fillId="0" borderId="29" xfId="0" applyNumberFormat="1" applyBorder="1" applyAlignment="1">
      <alignment horizontal="center"/>
    </xf>
    <xf numFmtId="166" fontId="0" fillId="0" borderId="23" xfId="0" applyNumberFormat="1" applyBorder="1" applyAlignment="1">
      <alignment horizontal="center"/>
    </xf>
    <xf numFmtId="0" fontId="1" fillId="5" borderId="7" xfId="0" applyFont="1" applyFill="1" applyBorder="1" applyAlignment="1">
      <alignment horizontal="center" vertical="center"/>
    </xf>
    <xf numFmtId="0" fontId="1" fillId="5" borderId="6" xfId="0" applyFont="1" applyFill="1" applyBorder="1" applyAlignment="1">
      <alignment horizontal="center" vertical="center"/>
    </xf>
    <xf numFmtId="0" fontId="1" fillId="5" borderId="8" xfId="0" applyFont="1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/>
    </xf>
    <xf numFmtId="0" fontId="0" fillId="2" borderId="4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10" fillId="0" borderId="14" xfId="0" applyFont="1" applyBorder="1" applyAlignment="1">
      <alignment horizontal="center"/>
    </xf>
    <xf numFmtId="0" fontId="10" fillId="0" borderId="15" xfId="0" applyFont="1" applyBorder="1" applyAlignment="1">
      <alignment horizontal="center"/>
    </xf>
    <xf numFmtId="0" fontId="10" fillId="0" borderId="13" xfId="0" applyFont="1" applyBorder="1" applyAlignment="1">
      <alignment horizontal="center"/>
    </xf>
    <xf numFmtId="0" fontId="10" fillId="0" borderId="12" xfId="2" applyFont="1" applyBorder="1" applyAlignment="1">
      <alignment horizontal="center"/>
    </xf>
    <xf numFmtId="0" fontId="10" fillId="0" borderId="12" xfId="2" applyFont="1" applyBorder="1" applyAlignment="1">
      <alignment horizontal="center" vertical="center" wrapText="1"/>
    </xf>
    <xf numFmtId="0" fontId="10" fillId="0" borderId="22" xfId="2" applyFont="1" applyBorder="1" applyAlignment="1">
      <alignment horizontal="center" vertical="center" wrapText="1"/>
    </xf>
  </cellXfs>
  <cellStyles count="3">
    <cellStyle name="Millares" xfId="1" builtinId="3"/>
    <cellStyle name="Normal" xfId="0" builtinId="0"/>
    <cellStyle name="Texto explicativo" xfId="2" builtinId="53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3844F8-9AF1-4E8B-AFAD-818F3F34D32A}">
  <sheetPr codeName="Hoja1"/>
  <dimension ref="A2:O30"/>
  <sheetViews>
    <sheetView tabSelected="1" topLeftCell="C1" zoomScale="90" zoomScaleNormal="90" workbookViewId="0">
      <selection activeCell="K20" sqref="K20"/>
    </sheetView>
  </sheetViews>
  <sheetFormatPr baseColWidth="10" defaultRowHeight="13.2" x14ac:dyDescent="0.25"/>
  <cols>
    <col min="2" max="2" width="7.33203125" bestFit="1" customWidth="1"/>
    <col min="3" max="3" width="25.44140625" bestFit="1" customWidth="1"/>
    <col min="4" max="4" width="17.6640625" bestFit="1" customWidth="1"/>
    <col min="5" max="5" width="16.44140625" bestFit="1" customWidth="1"/>
    <col min="6" max="6" width="10.44140625" customWidth="1"/>
    <col min="7" max="7" width="16.44140625" bestFit="1" customWidth="1"/>
    <col min="8" max="8" width="16.109375" customWidth="1"/>
    <col min="9" max="12" width="16.44140625" customWidth="1"/>
    <col min="14" max="14" width="29.5546875" customWidth="1"/>
    <col min="15" max="15" width="19.33203125" customWidth="1"/>
  </cols>
  <sheetData>
    <row r="2" spans="1:15" s="15" customFormat="1" x14ac:dyDescent="0.25">
      <c r="A2" s="70"/>
      <c r="B2" s="70"/>
      <c r="C2" s="83"/>
      <c r="D2" s="84"/>
      <c r="E2" s="70"/>
      <c r="F2" s="63"/>
      <c r="G2" s="63"/>
      <c r="H2" s="64"/>
      <c r="I2" s="117" t="s">
        <v>16</v>
      </c>
      <c r="J2" s="118"/>
      <c r="K2" s="118"/>
      <c r="L2" s="119"/>
    </row>
    <row r="3" spans="1:15" x14ac:dyDescent="0.25">
      <c r="A3" s="120" t="s">
        <v>15</v>
      </c>
      <c r="B3" s="123" t="s">
        <v>0</v>
      </c>
      <c r="C3" s="125" t="s">
        <v>1</v>
      </c>
      <c r="D3" s="74" t="s">
        <v>2</v>
      </c>
      <c r="E3" s="72" t="s">
        <v>3</v>
      </c>
      <c r="F3" s="32" t="s">
        <v>46</v>
      </c>
      <c r="G3" s="1" t="s">
        <v>4</v>
      </c>
      <c r="H3" s="2" t="s">
        <v>5</v>
      </c>
      <c r="I3" s="62" t="s">
        <v>37</v>
      </c>
      <c r="J3" s="61" t="s">
        <v>4</v>
      </c>
      <c r="K3" s="61" t="s">
        <v>36</v>
      </c>
      <c r="L3" s="50" t="s">
        <v>46</v>
      </c>
      <c r="N3" s="122" t="s">
        <v>58</v>
      </c>
      <c r="O3" s="122"/>
    </row>
    <row r="4" spans="1:15" ht="14.4" x14ac:dyDescent="0.3">
      <c r="A4" s="121"/>
      <c r="B4" s="124"/>
      <c r="C4" s="126"/>
      <c r="D4" s="75" t="s">
        <v>6</v>
      </c>
      <c r="E4" s="73" t="s">
        <v>7</v>
      </c>
      <c r="F4" s="33" t="s">
        <v>53</v>
      </c>
      <c r="G4" s="3" t="s">
        <v>57</v>
      </c>
      <c r="H4" s="4" t="s">
        <v>8</v>
      </c>
      <c r="I4" s="78" t="s">
        <v>14</v>
      </c>
      <c r="J4" s="76" t="s">
        <v>14</v>
      </c>
      <c r="K4" s="76" t="s">
        <v>14</v>
      </c>
      <c r="L4" s="77" t="s">
        <v>14</v>
      </c>
      <c r="N4" s="10" t="s">
        <v>66</v>
      </c>
      <c r="O4" s="10" t="s">
        <v>71</v>
      </c>
    </row>
    <row r="5" spans="1:15" x14ac:dyDescent="0.25">
      <c r="A5" t="s">
        <v>71</v>
      </c>
      <c r="B5" s="5" t="s">
        <v>9</v>
      </c>
      <c r="C5" s="6" t="s">
        <v>41</v>
      </c>
      <c r="D5" s="17">
        <f>VLOOKUP($C5,Px!$B$13:$K$16,9,0)</f>
        <v>4995.0768166817579</v>
      </c>
      <c r="E5" s="89">
        <f>VLOOKUP($C5,Px!$B$13:$K$16,10,0)</f>
        <v>55.61943738895485</v>
      </c>
      <c r="F5" s="51"/>
      <c r="G5" s="7"/>
      <c r="H5" s="91">
        <f>(COOPELAN!C6)/1000</f>
        <v>10.348109761384057</v>
      </c>
      <c r="I5" s="93">
        <f t="shared" ref="I5:I12" si="0">H5*E5*1000</f>
        <v>575556.04296733299</v>
      </c>
      <c r="J5" s="94">
        <f t="shared" ref="J5:J12" si="1">G5*D5*1000</f>
        <v>0</v>
      </c>
      <c r="K5" s="94"/>
      <c r="L5" s="95">
        <f t="shared" ref="L5:L12" si="2">H5*F5*1000</f>
        <v>0</v>
      </c>
      <c r="N5" s="11" t="str">
        <f>"Active Energy: "&amp;TEXT(H14*1000,"#,###")&amp;" kWh"</f>
        <v>Active Energy: 303,155 kWh</v>
      </c>
      <c r="O5" s="12">
        <f>I14</f>
        <v>17075805.648990016</v>
      </c>
    </row>
    <row r="6" spans="1:15" x14ac:dyDescent="0.25">
      <c r="A6" t="s">
        <v>71</v>
      </c>
      <c r="B6" t="s">
        <v>9</v>
      </c>
      <c r="C6" s="8" t="s">
        <v>70</v>
      </c>
      <c r="D6" s="16">
        <f>VLOOKUP($C6,Px!$B$13:$K$16,9,0)</f>
        <v>4837.5124527694525</v>
      </c>
      <c r="E6" s="90">
        <f>VLOOKUP($C6,Px!$B$13:$K$16,10,0)</f>
        <v>56.499213367900673</v>
      </c>
      <c r="F6" s="52"/>
      <c r="G6" s="9"/>
      <c r="H6" s="92">
        <f>(COOPELAN!F6)/1000</f>
        <v>76.162926399780162</v>
      </c>
      <c r="I6" s="96">
        <f t="shared" si="0"/>
        <v>4303145.4293848947</v>
      </c>
      <c r="J6" s="97">
        <f t="shared" si="1"/>
        <v>0</v>
      </c>
      <c r="K6" s="97"/>
      <c r="L6" s="98">
        <f t="shared" si="2"/>
        <v>0</v>
      </c>
      <c r="N6" s="11" t="str">
        <f>"Capacity: "&amp;TEXT(G14*1000,"###")&amp;" kW"</f>
        <v>Capacity: 662 kW</v>
      </c>
      <c r="O6" s="12">
        <f>J14</f>
        <v>3216180.7704302389</v>
      </c>
    </row>
    <row r="7" spans="1:15" x14ac:dyDescent="0.25">
      <c r="A7" t="s">
        <v>71</v>
      </c>
      <c r="B7" t="s">
        <v>9</v>
      </c>
      <c r="C7" s="8" t="s">
        <v>72</v>
      </c>
      <c r="D7" s="16">
        <f>VLOOKUP($C7,Px!$B$13:$K$16,9,0)</f>
        <v>4859.2849830555151</v>
      </c>
      <c r="E7" s="90">
        <f>VLOOKUP($C7,Px!$B$13:$K$16,10,0)</f>
        <v>55.091571801587349</v>
      </c>
      <c r="F7" s="52"/>
      <c r="G7" s="9"/>
      <c r="H7" s="92">
        <f>(COOPELAN!I6)/1000</f>
        <v>4.5853177871877708</v>
      </c>
      <c r="I7" s="96">
        <f t="shared" si="0"/>
        <v>252612.36410595069</v>
      </c>
      <c r="J7" s="97">
        <f t="shared" si="1"/>
        <v>0</v>
      </c>
      <c r="K7" s="97"/>
      <c r="L7" s="98">
        <f t="shared" si="2"/>
        <v>0</v>
      </c>
      <c r="N7" s="11" t="s">
        <v>13</v>
      </c>
      <c r="O7" s="12">
        <f>K14</f>
        <v>0</v>
      </c>
    </row>
    <row r="8" spans="1:15" x14ac:dyDescent="0.25">
      <c r="A8" t="s">
        <v>71</v>
      </c>
      <c r="B8" t="s">
        <v>10</v>
      </c>
      <c r="C8" s="8" t="s">
        <v>41</v>
      </c>
      <c r="D8" s="16">
        <f>VLOOKUP($C8,Px!$B$13:$K$16,9,0)</f>
        <v>4995.0768166817579</v>
      </c>
      <c r="E8" s="90">
        <f>VLOOKUP($C8,Px!$B$13:$K$16,10,0)</f>
        <v>55.61943738895485</v>
      </c>
      <c r="F8" s="52"/>
      <c r="G8" s="9"/>
      <c r="H8" s="92">
        <f>(COOPELAN!D7)/1000</f>
        <v>15.796640338350674</v>
      </c>
      <c r="I8" s="96">
        <f t="shared" ref="I8:I10" si="3">H8*E8*1000</f>
        <v>878600.24825473386</v>
      </c>
      <c r="J8" s="97">
        <f t="shared" ref="J8:J10" si="4">G8*D8*1000</f>
        <v>0</v>
      </c>
      <c r="K8" s="97"/>
      <c r="L8" s="98">
        <f t="shared" ref="L8:L10" si="5">H8*F8*1000</f>
        <v>0</v>
      </c>
      <c r="N8" s="11" t="s">
        <v>46</v>
      </c>
      <c r="O8" s="12">
        <f>L14</f>
        <v>0</v>
      </c>
    </row>
    <row r="9" spans="1:15" x14ac:dyDescent="0.25">
      <c r="A9" t="s">
        <v>71</v>
      </c>
      <c r="B9" t="s">
        <v>10</v>
      </c>
      <c r="C9" s="8" t="s">
        <v>70</v>
      </c>
      <c r="D9" s="16">
        <f>VLOOKUP($C9,Px!$B$13:$K$16,9,0)</f>
        <v>4837.5124527694525</v>
      </c>
      <c r="E9" s="90">
        <f>VLOOKUP($C9,Px!$B$13:$K$16,10,0)</f>
        <v>56.499213367900673</v>
      </c>
      <c r="F9" s="52"/>
      <c r="G9" s="9"/>
      <c r="H9" s="92">
        <f>(COOPELAN!G7)/1000</f>
        <v>110.12763838948592</v>
      </c>
      <c r="I9" s="96">
        <f t="shared" si="3"/>
        <v>6222124.939070574</v>
      </c>
      <c r="J9" s="97">
        <f t="shared" si="4"/>
        <v>0</v>
      </c>
      <c r="K9" s="97"/>
      <c r="L9" s="98">
        <f t="shared" si="5"/>
        <v>0</v>
      </c>
      <c r="N9" s="13" t="s">
        <v>12</v>
      </c>
      <c r="O9" s="14">
        <f>SUM(O5:O8)</f>
        <v>20291986.419420257</v>
      </c>
    </row>
    <row r="10" spans="1:15" x14ac:dyDescent="0.25">
      <c r="A10" t="s">
        <v>71</v>
      </c>
      <c r="B10" t="s">
        <v>10</v>
      </c>
      <c r="C10" s="8" t="s">
        <v>72</v>
      </c>
      <c r="D10" s="16">
        <f>VLOOKUP($C10,Px!$B$13:$K$16,9,0)</f>
        <v>4859.2849830555151</v>
      </c>
      <c r="E10" s="90">
        <f>VLOOKUP($C10,Px!$B$13:$K$16,10,0)</f>
        <v>55.091571801587349</v>
      </c>
      <c r="F10" s="52"/>
      <c r="G10" s="9"/>
      <c r="H10" s="92">
        <f>(COOPELAN!J7)/1000</f>
        <v>6.6305062328522339</v>
      </c>
      <c r="I10" s="96">
        <f t="shared" si="3"/>
        <v>365285.0102080513</v>
      </c>
      <c r="J10" s="97">
        <f t="shared" si="4"/>
        <v>0</v>
      </c>
      <c r="K10" s="97"/>
      <c r="L10" s="98">
        <f t="shared" si="5"/>
        <v>0</v>
      </c>
    </row>
    <row r="11" spans="1:15" x14ac:dyDescent="0.25">
      <c r="A11" t="s">
        <v>71</v>
      </c>
      <c r="B11" t="s">
        <v>11</v>
      </c>
      <c r="C11" s="8" t="s">
        <v>41</v>
      </c>
      <c r="D11" s="16">
        <f>VLOOKUP($C11,Px!$B$13:$K$16,9,0)</f>
        <v>4995.0768166817579</v>
      </c>
      <c r="E11" s="90">
        <f>VLOOKUP($C11,Px!$B$13:$K$16,10,0)</f>
        <v>55.61943738895485</v>
      </c>
      <c r="F11" s="52"/>
      <c r="G11" s="9">
        <f>COOPELAN!M8/1000</f>
        <v>7.379595089173567E-2</v>
      </c>
      <c r="H11" s="92">
        <f>(COOPELAN!E8)/1000</f>
        <v>8.8588154780134598</v>
      </c>
      <c r="I11" s="96">
        <f t="shared" si="0"/>
        <v>492722.33281967376</v>
      </c>
      <c r="J11" s="97">
        <f t="shared" si="1"/>
        <v>368616.44346429431</v>
      </c>
      <c r="K11" s="97"/>
      <c r="L11" s="98">
        <f t="shared" si="2"/>
        <v>0</v>
      </c>
    </row>
    <row r="12" spans="1:15" x14ac:dyDescent="0.25">
      <c r="A12" t="s">
        <v>71</v>
      </c>
      <c r="B12" t="s">
        <v>11</v>
      </c>
      <c r="C12" s="8" t="s">
        <v>70</v>
      </c>
      <c r="D12" s="16">
        <f>VLOOKUP($C12,Px!$B$13:$K$16,9,0)</f>
        <v>4837.5124527694525</v>
      </c>
      <c r="E12" s="90">
        <f>VLOOKUP($C12,Px!$B$13:$K$16,10,0)</f>
        <v>56.499213367900673</v>
      </c>
      <c r="F12" s="52"/>
      <c r="G12" s="9">
        <f>COOPELAN!N8/1000</f>
        <v>0.55507131373047269</v>
      </c>
      <c r="H12" s="92">
        <f>(COOPELAN!H8)/1000</f>
        <v>66.633389583810569</v>
      </c>
      <c r="I12" s="96">
        <f t="shared" si="0"/>
        <v>3764734.0955221634</v>
      </c>
      <c r="J12" s="97">
        <f t="shared" si="1"/>
        <v>2685164.3923462611</v>
      </c>
      <c r="K12" s="97"/>
      <c r="L12" s="98">
        <f t="shared" si="2"/>
        <v>0</v>
      </c>
    </row>
    <row r="13" spans="1:15" x14ac:dyDescent="0.25">
      <c r="A13" t="s">
        <v>71</v>
      </c>
      <c r="B13" t="s">
        <v>11</v>
      </c>
      <c r="C13" s="8" t="s">
        <v>72</v>
      </c>
      <c r="D13" s="16">
        <f>VLOOKUP($C13,Px!$B$13:$K$16,9,0)</f>
        <v>4859.2849830555151</v>
      </c>
      <c r="E13" s="90">
        <f>VLOOKUP($C13,Px!$B$13:$K$16,10,0)</f>
        <v>55.091571801587349</v>
      </c>
      <c r="F13" s="52"/>
      <c r="G13" s="9">
        <f>COOPELAN!O8/1000</f>
        <v>3.3420541331899187E-2</v>
      </c>
      <c r="H13" s="92">
        <f>(COOPELAN!K8)/1000</f>
        <v>4.0119600771723807</v>
      </c>
      <c r="I13" s="96">
        <f>H13*E13*1000</f>
        <v>221025.18665664413</v>
      </c>
      <c r="J13" s="97">
        <f>G13*D13*1000</f>
        <v>162399.93461968389</v>
      </c>
      <c r="K13" s="97"/>
      <c r="L13" s="98">
        <f>H13*F13*1000</f>
        <v>0</v>
      </c>
    </row>
    <row r="14" spans="1:15" ht="14.4" x14ac:dyDescent="0.3">
      <c r="A14" s="18"/>
      <c r="B14" s="18"/>
      <c r="C14" s="18"/>
      <c r="D14" s="18"/>
      <c r="E14" s="105"/>
      <c r="F14" s="106" t="s">
        <v>12</v>
      </c>
      <c r="G14" s="107">
        <f t="shared" ref="G14:L14" si="6">SUM(G5:G13)</f>
        <v>0.66228780595410752</v>
      </c>
      <c r="H14" s="112">
        <f t="shared" si="6"/>
        <v>303.15530404803724</v>
      </c>
      <c r="I14" s="108">
        <f>SUM(I5:I13)</f>
        <v>17075805.648990016</v>
      </c>
      <c r="J14" s="108">
        <f t="shared" si="6"/>
        <v>3216180.7704302389</v>
      </c>
      <c r="K14" s="108">
        <f t="shared" si="6"/>
        <v>0</v>
      </c>
      <c r="L14" s="104">
        <f t="shared" si="6"/>
        <v>0</v>
      </c>
    </row>
    <row r="16" spans="1:15" x14ac:dyDescent="0.25">
      <c r="E16" s="11" t="s">
        <v>62</v>
      </c>
      <c r="F16" t="s">
        <v>63</v>
      </c>
      <c r="M16" s="99"/>
    </row>
    <row r="20" spans="1:15" ht="13.8" x14ac:dyDescent="0.25">
      <c r="I20" s="71"/>
    </row>
    <row r="27" spans="1:15" x14ac:dyDescent="0.25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</row>
    <row r="28" spans="1:15" x14ac:dyDescent="0.25">
      <c r="N28" s="15"/>
      <c r="O28" s="15"/>
    </row>
    <row r="29" spans="1:15" x14ac:dyDescent="0.25">
      <c r="I29" s="12"/>
      <c r="J29" s="12"/>
    </row>
    <row r="30" spans="1:15" s="15" customFormat="1" ht="20.25" customHeight="1" x14ac:dyDescent="0.25">
      <c r="A30"/>
      <c r="B30"/>
      <c r="C30"/>
      <c r="D30"/>
      <c r="E30"/>
      <c r="F30"/>
      <c r="G30"/>
      <c r="H30"/>
      <c r="I30"/>
      <c r="J30"/>
      <c r="K30"/>
      <c r="L30"/>
      <c r="N30"/>
      <c r="O30"/>
    </row>
  </sheetData>
  <mergeCells count="5">
    <mergeCell ref="I2:L2"/>
    <mergeCell ref="A3:A4"/>
    <mergeCell ref="N3:O3"/>
    <mergeCell ref="B3:B4"/>
    <mergeCell ref="C3:C4"/>
  </mergeCells>
  <pageMargins left="0.7" right="0.7" top="0.75" bottom="0.75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9420E-8113-4C9E-93F6-07948D51EF61}">
  <sheetPr codeName="Hoja3"/>
  <dimension ref="A2:S8"/>
  <sheetViews>
    <sheetView workbookViewId="0">
      <selection activeCell="M12" sqref="M12"/>
    </sheetView>
  </sheetViews>
  <sheetFormatPr baseColWidth="10" defaultRowHeight="13.2" x14ac:dyDescent="0.25"/>
  <cols>
    <col min="1" max="1" width="21" bestFit="1" customWidth="1"/>
    <col min="13" max="13" width="14.33203125" bestFit="1" customWidth="1"/>
    <col min="15" max="15" width="12.33203125" bestFit="1" customWidth="1"/>
    <col min="16" max="18" width="3.6640625" customWidth="1"/>
  </cols>
  <sheetData>
    <row r="2" spans="1:19" ht="13.8" thickBot="1" x14ac:dyDescent="0.3"/>
    <row r="3" spans="1:19" ht="15" thickBot="1" x14ac:dyDescent="0.35">
      <c r="A3" s="34" t="s">
        <v>42</v>
      </c>
      <c r="B3" s="34" t="s">
        <v>77</v>
      </c>
      <c r="C3" s="127" t="s">
        <v>43</v>
      </c>
      <c r="D3" s="128"/>
      <c r="E3" s="128"/>
      <c r="F3" s="128"/>
      <c r="G3" s="128"/>
      <c r="H3" s="128"/>
      <c r="I3" s="128"/>
      <c r="J3" s="128"/>
      <c r="K3" s="128"/>
      <c r="L3" s="129"/>
      <c r="M3" s="127" t="s">
        <v>23</v>
      </c>
      <c r="N3" s="128"/>
      <c r="O3" s="129"/>
      <c r="R3" s="35"/>
      <c r="S3" s="36"/>
    </row>
    <row r="4" spans="1:19" ht="15" thickBot="1" x14ac:dyDescent="0.35">
      <c r="C4" s="130" t="s">
        <v>67</v>
      </c>
      <c r="D4" s="130"/>
      <c r="E4" s="130"/>
      <c r="F4" s="130" t="s">
        <v>68</v>
      </c>
      <c r="G4" s="130"/>
      <c r="H4" s="130"/>
      <c r="I4" s="130" t="s">
        <v>69</v>
      </c>
      <c r="J4" s="130"/>
      <c r="K4" s="130"/>
      <c r="L4" s="131" t="s">
        <v>44</v>
      </c>
      <c r="M4" s="127" t="s">
        <v>45</v>
      </c>
      <c r="N4" s="128"/>
      <c r="O4" s="129"/>
      <c r="S4" s="37"/>
    </row>
    <row r="5" spans="1:19" ht="15" thickBot="1" x14ac:dyDescent="0.35">
      <c r="A5" s="38" t="s">
        <v>47</v>
      </c>
      <c r="B5" s="39" t="s">
        <v>48</v>
      </c>
      <c r="C5" s="40" t="s">
        <v>38</v>
      </c>
      <c r="D5" s="41" t="s">
        <v>39</v>
      </c>
      <c r="E5" s="42" t="s">
        <v>40</v>
      </c>
      <c r="F5" s="40" t="s">
        <v>38</v>
      </c>
      <c r="G5" s="41" t="s">
        <v>39</v>
      </c>
      <c r="H5" s="42" t="s">
        <v>40</v>
      </c>
      <c r="I5" s="40" t="s">
        <v>38</v>
      </c>
      <c r="J5" s="41" t="s">
        <v>39</v>
      </c>
      <c r="K5" s="42" t="s">
        <v>40</v>
      </c>
      <c r="L5" s="132"/>
      <c r="M5" s="43" t="s">
        <v>67</v>
      </c>
      <c r="N5" s="44" t="s">
        <v>68</v>
      </c>
      <c r="O5" s="44" t="s">
        <v>69</v>
      </c>
      <c r="S5" s="37"/>
    </row>
    <row r="6" spans="1:19" ht="14.4" x14ac:dyDescent="0.3">
      <c r="A6" s="45" t="s">
        <v>49</v>
      </c>
      <c r="B6" s="46" t="s">
        <v>50</v>
      </c>
      <c r="C6" s="67">
        <v>10348.109761384057</v>
      </c>
      <c r="D6" s="68">
        <v>0</v>
      </c>
      <c r="E6" s="68">
        <v>0</v>
      </c>
      <c r="F6" s="68">
        <v>76162.926399780161</v>
      </c>
      <c r="G6" s="68">
        <v>0</v>
      </c>
      <c r="H6" s="68">
        <v>0</v>
      </c>
      <c r="I6" s="68">
        <v>4585.3177871877706</v>
      </c>
      <c r="J6" s="68">
        <v>0</v>
      </c>
      <c r="K6" s="69">
        <v>0</v>
      </c>
      <c r="L6" s="66">
        <f>SUM(C6:K6)</f>
        <v>91096.353948351985</v>
      </c>
      <c r="M6" s="47">
        <v>0</v>
      </c>
      <c r="N6" s="47">
        <v>0</v>
      </c>
      <c r="O6" s="47">
        <v>0</v>
      </c>
      <c r="P6" s="48"/>
      <c r="S6" s="49"/>
    </row>
    <row r="7" spans="1:19" ht="14.4" x14ac:dyDescent="0.3">
      <c r="A7" s="45" t="s">
        <v>49</v>
      </c>
      <c r="B7" s="46" t="s">
        <v>51</v>
      </c>
      <c r="C7" s="67">
        <v>0</v>
      </c>
      <c r="D7" s="68">
        <v>15796.640338350673</v>
      </c>
      <c r="E7" s="68">
        <v>0</v>
      </c>
      <c r="F7" s="68">
        <v>0</v>
      </c>
      <c r="G7" s="68">
        <v>110127.63838948592</v>
      </c>
      <c r="H7" s="68">
        <v>0</v>
      </c>
      <c r="I7" s="68">
        <v>0</v>
      </c>
      <c r="J7" s="68">
        <v>6630.5062328522336</v>
      </c>
      <c r="K7" s="69">
        <v>0</v>
      </c>
      <c r="L7" s="66">
        <f>SUM(C7:K7)</f>
        <v>132554.78496068882</v>
      </c>
      <c r="M7" s="47">
        <v>0</v>
      </c>
      <c r="N7" s="47">
        <v>0</v>
      </c>
      <c r="O7" s="47">
        <v>0</v>
      </c>
      <c r="P7" s="48"/>
      <c r="S7" s="49"/>
    </row>
    <row r="8" spans="1:19" ht="14.4" x14ac:dyDescent="0.3">
      <c r="A8" s="45" t="s">
        <v>49</v>
      </c>
      <c r="B8" s="46" t="s">
        <v>52</v>
      </c>
      <c r="C8" s="67">
        <v>0</v>
      </c>
      <c r="D8" s="68">
        <v>0</v>
      </c>
      <c r="E8" s="68">
        <v>8858.8154780134591</v>
      </c>
      <c r="F8" s="68">
        <v>0</v>
      </c>
      <c r="G8" s="68">
        <v>0</v>
      </c>
      <c r="H8" s="68">
        <v>66633.389583810567</v>
      </c>
      <c r="I8" s="68">
        <v>0</v>
      </c>
      <c r="J8" s="68">
        <v>0</v>
      </c>
      <c r="K8" s="69">
        <v>4011.9600771723804</v>
      </c>
      <c r="L8" s="66">
        <f>SUM(C8:K8)</f>
        <v>79504.16513899641</v>
      </c>
      <c r="M8" s="47">
        <v>73.795950891735671</v>
      </c>
      <c r="N8" s="47">
        <v>555.07131373047264</v>
      </c>
      <c r="O8" s="47">
        <v>33.420541331899187</v>
      </c>
      <c r="P8" s="48"/>
      <c r="S8" s="49"/>
    </row>
  </sheetData>
  <mergeCells count="7">
    <mergeCell ref="M4:O4"/>
    <mergeCell ref="M3:O3"/>
    <mergeCell ref="C3:L3"/>
    <mergeCell ref="C4:E4"/>
    <mergeCell ref="F4:H4"/>
    <mergeCell ref="I4:K4"/>
    <mergeCell ref="L4:L5"/>
  </mergeCells>
  <conditionalFormatting sqref="M4 A3:L4 A5:O8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47A16-766D-4274-84E1-281E3204E567}">
  <sheetPr codeName="Hoja2"/>
  <dimension ref="A2:K27"/>
  <sheetViews>
    <sheetView zoomScaleNormal="100" workbookViewId="0">
      <selection activeCell="J13" sqref="J13:K15"/>
    </sheetView>
  </sheetViews>
  <sheetFormatPr baseColWidth="10" defaultRowHeight="13.2" x14ac:dyDescent="0.25"/>
  <cols>
    <col min="1" max="1" width="17.6640625" bestFit="1" customWidth="1"/>
    <col min="2" max="2" width="13" bestFit="1" customWidth="1"/>
    <col min="3" max="3" width="20.109375" bestFit="1" customWidth="1"/>
    <col min="4" max="4" width="24.33203125" bestFit="1" customWidth="1"/>
    <col min="5" max="5" width="15" customWidth="1"/>
    <col min="6" max="6" width="15.109375" customWidth="1"/>
    <col min="7" max="7" width="18.6640625" bestFit="1" customWidth="1"/>
    <col min="8" max="8" width="15.33203125" customWidth="1"/>
    <col min="9" max="9" width="13.44140625" bestFit="1" customWidth="1"/>
    <col min="10" max="10" width="14.88671875" customWidth="1"/>
    <col min="12" max="12" width="22" bestFit="1" customWidth="1"/>
  </cols>
  <sheetData>
    <row r="2" spans="1:11" ht="13.8" x14ac:dyDescent="0.3">
      <c r="A2" s="19" t="s">
        <v>17</v>
      </c>
      <c r="B2" s="20"/>
      <c r="C2" s="20" t="s">
        <v>18</v>
      </c>
      <c r="D2" s="21" t="s">
        <v>19</v>
      </c>
      <c r="E2" s="22"/>
      <c r="F2" s="22"/>
      <c r="G2" s="22"/>
    </row>
    <row r="3" spans="1:11" ht="13.8" x14ac:dyDescent="0.3">
      <c r="A3" s="23" t="s">
        <v>20</v>
      </c>
      <c r="B3" s="22" t="s">
        <v>21</v>
      </c>
      <c r="C3" s="22">
        <v>79.322000000000003</v>
      </c>
      <c r="D3" s="24" t="s">
        <v>22</v>
      </c>
      <c r="E3" s="86"/>
      <c r="F3" s="22"/>
      <c r="G3" s="85"/>
      <c r="H3" s="111">
        <v>44078</v>
      </c>
      <c r="I3" s="111">
        <v>44106</v>
      </c>
      <c r="J3" s="111">
        <v>44539</v>
      </c>
    </row>
    <row r="4" spans="1:11" ht="27.6" x14ac:dyDescent="0.3">
      <c r="A4" s="25" t="s">
        <v>23</v>
      </c>
      <c r="B4" s="26" t="s">
        <v>24</v>
      </c>
      <c r="C4" s="26">
        <v>8.3592999999999993</v>
      </c>
      <c r="D4" s="27" t="s">
        <v>22</v>
      </c>
      <c r="E4" s="86"/>
      <c r="F4" s="22"/>
      <c r="G4" s="85"/>
      <c r="H4" s="56" t="s">
        <v>65</v>
      </c>
      <c r="I4" s="56" t="s">
        <v>65</v>
      </c>
      <c r="J4" s="56" t="s">
        <v>73</v>
      </c>
      <c r="K4" s="114" t="s">
        <v>76</v>
      </c>
    </row>
    <row r="5" spans="1:11" ht="13.8" x14ac:dyDescent="0.3">
      <c r="A5" s="19" t="s">
        <v>17</v>
      </c>
      <c r="B5" s="20"/>
      <c r="C5" s="20" t="s">
        <v>18</v>
      </c>
      <c r="D5" s="21" t="s">
        <v>19</v>
      </c>
      <c r="E5" s="22"/>
      <c r="F5" s="22"/>
      <c r="G5" s="19" t="s">
        <v>64</v>
      </c>
      <c r="H5" s="101">
        <v>3.1463981736115865</v>
      </c>
      <c r="I5" s="101">
        <v>3.1463981736115865</v>
      </c>
      <c r="J5" s="101">
        <v>3.1538686777380271</v>
      </c>
      <c r="K5" s="115">
        <v>3.1873041886945912</v>
      </c>
    </row>
    <row r="6" spans="1:11" ht="13.8" x14ac:dyDescent="0.3">
      <c r="A6" s="23" t="s">
        <v>25</v>
      </c>
      <c r="B6" s="22"/>
      <c r="C6" s="22">
        <v>743.19</v>
      </c>
      <c r="D6" s="24" t="s">
        <v>74</v>
      </c>
      <c r="E6" s="22"/>
      <c r="F6" s="22"/>
      <c r="G6" s="81" t="s">
        <v>60</v>
      </c>
      <c r="H6" s="109">
        <v>0.87942121205570145</v>
      </c>
      <c r="I6" s="109">
        <v>0.87943198434289549</v>
      </c>
      <c r="J6" s="109">
        <v>0.90529547693185475</v>
      </c>
      <c r="K6" s="115">
        <v>0.93996007442596441</v>
      </c>
    </row>
    <row r="7" spans="1:11" ht="13.8" x14ac:dyDescent="0.3">
      <c r="A7" s="23" t="s">
        <v>26</v>
      </c>
      <c r="B7" s="22"/>
      <c r="C7" s="102">
        <v>260.47899999999998</v>
      </c>
      <c r="D7" s="24"/>
      <c r="E7" s="22"/>
      <c r="F7" s="22"/>
      <c r="G7" s="82" t="s">
        <v>61</v>
      </c>
      <c r="H7" s="110">
        <v>0.80379756382292911</v>
      </c>
      <c r="I7" s="110">
        <v>0.80379756382292911</v>
      </c>
      <c r="J7" s="110">
        <v>0.76950071006485832</v>
      </c>
      <c r="K7" s="116">
        <v>0.83945236799718903</v>
      </c>
    </row>
    <row r="8" spans="1:11" ht="13.8" x14ac:dyDescent="0.3">
      <c r="A8" s="23" t="s">
        <v>27</v>
      </c>
      <c r="B8" s="22"/>
      <c r="C8" s="28">
        <v>237.09</v>
      </c>
      <c r="D8" s="29" t="s">
        <v>28</v>
      </c>
      <c r="E8" s="22"/>
      <c r="F8" s="22"/>
      <c r="G8" s="22"/>
      <c r="J8" s="113"/>
    </row>
    <row r="9" spans="1:11" ht="13.8" x14ac:dyDescent="0.3">
      <c r="A9" s="25" t="s">
        <v>29</v>
      </c>
      <c r="B9" s="26"/>
      <c r="C9" s="30"/>
      <c r="D9" s="31" t="s">
        <v>75</v>
      </c>
      <c r="E9" s="22"/>
      <c r="F9" s="22"/>
      <c r="G9" s="22"/>
    </row>
    <row r="10" spans="1:11" ht="13.8" x14ac:dyDescent="0.3">
      <c r="A10" s="22"/>
      <c r="B10" s="22"/>
      <c r="C10" s="22"/>
      <c r="D10" s="22"/>
      <c r="E10" s="22"/>
      <c r="F10" s="22"/>
      <c r="G10" s="22"/>
    </row>
    <row r="11" spans="1:11" ht="13.8" x14ac:dyDescent="0.3">
      <c r="A11" s="53"/>
      <c r="B11" s="53"/>
      <c r="C11" s="54"/>
      <c r="D11" s="53"/>
      <c r="E11" s="53"/>
      <c r="F11" s="53"/>
      <c r="G11" s="53"/>
      <c r="H11" s="55"/>
      <c r="I11" s="79"/>
      <c r="J11" s="55"/>
    </row>
    <row r="12" spans="1:11" ht="27.6" x14ac:dyDescent="0.25">
      <c r="A12" s="56" t="s">
        <v>54</v>
      </c>
      <c r="B12" s="56" t="s">
        <v>30</v>
      </c>
      <c r="C12" s="56" t="s">
        <v>55</v>
      </c>
      <c r="D12" s="56" t="s">
        <v>31</v>
      </c>
      <c r="E12" s="56" t="s">
        <v>59</v>
      </c>
      <c r="F12" s="56" t="s">
        <v>32</v>
      </c>
      <c r="G12" s="56" t="s">
        <v>33</v>
      </c>
      <c r="H12" s="56" t="s">
        <v>34</v>
      </c>
      <c r="I12" s="56" t="s">
        <v>35</v>
      </c>
      <c r="J12" s="87" t="s">
        <v>35</v>
      </c>
      <c r="K12" s="88" t="s">
        <v>56</v>
      </c>
    </row>
    <row r="13" spans="1:11" ht="13.8" x14ac:dyDescent="0.3">
      <c r="A13" s="22" t="s">
        <v>71</v>
      </c>
      <c r="B13" s="22" t="s">
        <v>41</v>
      </c>
      <c r="C13" s="57"/>
      <c r="D13" s="58">
        <v>0.94830000000000003</v>
      </c>
      <c r="E13" s="58">
        <v>0.87180000000000002</v>
      </c>
      <c r="F13" s="59">
        <f>($C$3*$C$7/$C$8-$K$5)*D13</f>
        <v>79.619111561507637</v>
      </c>
      <c r="G13" s="59">
        <f>$C$4*$C$7/$C$8*E13</f>
        <v>8.0065654008075402</v>
      </c>
      <c r="H13" s="59">
        <f>F13*$C$6/1000</f>
        <v>59.17212752139686</v>
      </c>
      <c r="I13" s="80">
        <f>G13*$C$6</f>
        <v>5950.3993402261558</v>
      </c>
      <c r="J13" s="103">
        <f>I13*$K$7</f>
        <v>4995.0768166817579</v>
      </c>
      <c r="K13" s="60">
        <f>H13*$K$6</f>
        <v>55.61943738895485</v>
      </c>
    </row>
    <row r="14" spans="1:11" ht="13.8" x14ac:dyDescent="0.3">
      <c r="A14" s="22" t="s">
        <v>71</v>
      </c>
      <c r="B14" s="22" t="s">
        <v>70</v>
      </c>
      <c r="C14" s="57"/>
      <c r="D14" s="58">
        <v>0.96330000000000005</v>
      </c>
      <c r="E14" s="58">
        <v>0.84430000000000005</v>
      </c>
      <c r="F14" s="59">
        <f t="shared" ref="F14:F15" si="0">($C$3*$C$7/$C$8-$K$5)*D14</f>
        <v>80.878509086998108</v>
      </c>
      <c r="G14" s="59">
        <f t="shared" ref="G14:G15" si="1">$C$4*$C$7/$C$8*E14</f>
        <v>7.7540068454941569</v>
      </c>
      <c r="H14" s="59">
        <f t="shared" ref="H14:H15" si="2">F14*$C$6/1000</f>
        <v>60.108099168366124</v>
      </c>
      <c r="I14" s="80">
        <f t="shared" ref="I14:I15" si="3">G14*$C$6</f>
        <v>5762.7003475028032</v>
      </c>
      <c r="J14" s="103">
        <f t="shared" ref="J14:J15" si="4">I14*$K$7</f>
        <v>4837.5124527694525</v>
      </c>
      <c r="K14" s="60">
        <f t="shared" ref="K14:K15" si="5">H14*$K$6</f>
        <v>56.499213367900673</v>
      </c>
    </row>
    <row r="15" spans="1:11" ht="13.8" x14ac:dyDescent="0.3">
      <c r="A15" s="22" t="s">
        <v>71</v>
      </c>
      <c r="B15" s="22" t="s">
        <v>72</v>
      </c>
      <c r="C15" s="57"/>
      <c r="D15" s="58">
        <v>0.93930000000000002</v>
      </c>
      <c r="E15" s="58">
        <v>0.84809999999999997</v>
      </c>
      <c r="F15" s="59">
        <f t="shared" si="0"/>
        <v>78.863473046213343</v>
      </c>
      <c r="G15" s="59">
        <f t="shared" si="1"/>
        <v>7.7889058458647327</v>
      </c>
      <c r="H15" s="59">
        <f t="shared" si="2"/>
        <v>58.610544533215297</v>
      </c>
      <c r="I15" s="80">
        <f t="shared" si="3"/>
        <v>5788.6369355882107</v>
      </c>
      <c r="J15" s="103">
        <f t="shared" si="4"/>
        <v>4859.2849830555151</v>
      </c>
      <c r="K15" s="60">
        <f t="shared" si="5"/>
        <v>55.091571801587349</v>
      </c>
    </row>
    <row r="16" spans="1:11" ht="13.8" x14ac:dyDescent="0.3">
      <c r="A16" s="22"/>
      <c r="B16" s="22"/>
      <c r="C16" s="57"/>
      <c r="D16" s="58"/>
      <c r="E16" s="58"/>
      <c r="F16" s="59"/>
      <c r="G16" s="59"/>
      <c r="H16" s="59"/>
      <c r="I16" s="80"/>
      <c r="J16" s="103"/>
      <c r="K16" s="60"/>
    </row>
    <row r="17" spans="1:9" x14ac:dyDescent="0.25">
      <c r="E17" s="65"/>
      <c r="I17" s="65"/>
    </row>
    <row r="18" spans="1:9" x14ac:dyDescent="0.25">
      <c r="E18" s="65"/>
      <c r="I18" s="65"/>
    </row>
    <row r="19" spans="1:9" ht="13.8" x14ac:dyDescent="0.3">
      <c r="A19" s="59"/>
      <c r="B19" s="65"/>
      <c r="D19" s="60"/>
    </row>
    <row r="22" spans="1:9" x14ac:dyDescent="0.25">
      <c r="E22" s="100"/>
    </row>
    <row r="24" spans="1:9" ht="13.8" x14ac:dyDescent="0.3">
      <c r="I24" s="22"/>
    </row>
    <row r="25" spans="1:9" ht="13.8" x14ac:dyDescent="0.3">
      <c r="I25" s="22"/>
    </row>
    <row r="26" spans="1:9" ht="13.8" x14ac:dyDescent="0.3">
      <c r="I26" s="22"/>
    </row>
    <row r="27" spans="1:9" ht="13.8" x14ac:dyDescent="0.3">
      <c r="I27" s="2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Montos facturar</vt:lpstr>
      <vt:lpstr>COOPELAN</vt:lpstr>
      <vt:lpstr>Px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Jaime Rivera</dc:creator>
  <cp:lastModifiedBy>Sebastián Muci Ovalle</cp:lastModifiedBy>
  <dcterms:created xsi:type="dcterms:W3CDTF">2018-11-16T13:10:45Z</dcterms:created>
  <dcterms:modified xsi:type="dcterms:W3CDTF">2021-10-12T14:20:40Z</dcterms:modified>
</cp:coreProperties>
</file>