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atas\Desktop\RNE\Factura PPA Aela\12-Dic\"/>
    </mc:Choice>
  </mc:AlternateContent>
  <xr:revisionPtr revIDLastSave="0" documentId="13_ncr:1_{19E37000-67A0-4EAC-912A-B83F6C113294}" xr6:coauthVersionLast="47" xr6:coauthVersionMax="47" xr10:uidLastSave="{00000000-0000-0000-0000-000000000000}"/>
  <bookViews>
    <workbookView xWindow="-108" yWindow="-108" windowWidth="23256" windowHeight="12576" activeTab="2" xr2:uid="{F2358186-0BE2-4736-A654-4A2DCED7D6D4}"/>
  </bookViews>
  <sheets>
    <sheet name="Montos facturar" sheetId="1" r:id="rId1"/>
    <sheet name="ENEL DX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6" i="3" l="1"/>
  <c r="J8" i="3"/>
  <c r="G13" i="2" l="1"/>
  <c r="G14" i="2"/>
  <c r="G15" i="2"/>
  <c r="G16" i="2"/>
  <c r="G17" i="2"/>
  <c r="G18" i="2"/>
  <c r="G19" i="2"/>
  <c r="H19" i="2"/>
  <c r="H18" i="2"/>
  <c r="H17" i="2"/>
  <c r="H16" i="2"/>
  <c r="H15" i="2"/>
  <c r="H14" i="2"/>
  <c r="H13" i="2"/>
  <c r="H25" i="1" l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G25" i="1"/>
  <c r="G24" i="1"/>
  <c r="G23" i="1"/>
  <c r="G22" i="1"/>
  <c r="G21" i="1"/>
  <c r="G20" i="1"/>
  <c r="G19" i="1"/>
  <c r="F14" i="2"/>
  <c r="F15" i="2"/>
  <c r="F16" i="2"/>
  <c r="F17" i="2"/>
  <c r="K17" i="2" s="1"/>
  <c r="F18" i="2"/>
  <c r="K18" i="2" s="1"/>
  <c r="F19" i="2"/>
  <c r="K19" i="2" s="1"/>
  <c r="F13" i="2"/>
  <c r="I17" i="2"/>
  <c r="J17" i="2" s="1"/>
  <c r="D23" i="1" s="1"/>
  <c r="I18" i="2"/>
  <c r="J18" i="2" s="1"/>
  <c r="D17" i="1" s="1"/>
  <c r="J17" i="1" s="1"/>
  <c r="I19" i="2"/>
  <c r="J19" i="2" s="1"/>
  <c r="D11" i="1" s="1"/>
  <c r="J11" i="1" s="1"/>
  <c r="R8" i="3"/>
  <c r="R7" i="3"/>
  <c r="J7" i="3"/>
  <c r="J6" i="3"/>
  <c r="D18" i="1" l="1"/>
  <c r="J18" i="1" s="1"/>
  <c r="D10" i="1"/>
  <c r="J10" i="1" s="1"/>
  <c r="J23" i="1"/>
  <c r="E17" i="1"/>
  <c r="I17" i="1" s="1"/>
  <c r="E24" i="1"/>
  <c r="I24" i="1" s="1"/>
  <c r="E10" i="1"/>
  <c r="I10" i="1" s="1"/>
  <c r="D16" i="1"/>
  <c r="J16" i="1" s="1"/>
  <c r="D24" i="1"/>
  <c r="J24" i="1" s="1"/>
  <c r="E9" i="1"/>
  <c r="I9" i="1" s="1"/>
  <c r="E16" i="1"/>
  <c r="I16" i="1" s="1"/>
  <c r="E23" i="1"/>
  <c r="I23" i="1" s="1"/>
  <c r="D9" i="1"/>
  <c r="J9" i="1" s="1"/>
  <c r="D25" i="1"/>
  <c r="J25" i="1" s="1"/>
  <c r="E25" i="1"/>
  <c r="I25" i="1" s="1"/>
  <c r="E11" i="1"/>
  <c r="I11" i="1" s="1"/>
  <c r="E18" i="1"/>
  <c r="I18" i="1" s="1"/>
  <c r="K26" i="1" l="1"/>
  <c r="O7" i="1" s="1"/>
  <c r="K13" i="2" l="1"/>
  <c r="E5" i="1" l="1"/>
  <c r="I5" i="1" s="1"/>
  <c r="E12" i="1"/>
  <c r="I12" i="1" s="1"/>
  <c r="E19" i="1"/>
  <c r="I19" i="1" s="1"/>
  <c r="I16" i="2"/>
  <c r="J16" i="2" s="1"/>
  <c r="K16" i="2"/>
  <c r="D15" i="1" l="1"/>
  <c r="J15" i="1" s="1"/>
  <c r="D22" i="1"/>
  <c r="J22" i="1" s="1"/>
  <c r="D8" i="1"/>
  <c r="J8" i="1" s="1"/>
  <c r="E8" i="1"/>
  <c r="I8" i="1" s="1"/>
  <c r="E15" i="1"/>
  <c r="I15" i="1" s="1"/>
  <c r="E22" i="1"/>
  <c r="I22" i="1" s="1"/>
  <c r="K14" i="2"/>
  <c r="K15" i="2"/>
  <c r="E14" i="1" l="1"/>
  <c r="I14" i="1" s="1"/>
  <c r="E7" i="1"/>
  <c r="I7" i="1" s="1"/>
  <c r="E21" i="1"/>
  <c r="I21" i="1" s="1"/>
  <c r="E13" i="1"/>
  <c r="I13" i="1" s="1"/>
  <c r="E20" i="1"/>
  <c r="I20" i="1" s="1"/>
  <c r="E6" i="1"/>
  <c r="I6" i="1" s="1"/>
  <c r="I14" i="2"/>
  <c r="J14" i="2" s="1"/>
  <c r="I15" i="2"/>
  <c r="J15" i="2" s="1"/>
  <c r="D7" i="1" l="1"/>
  <c r="J7" i="1" s="1"/>
  <c r="D14" i="1"/>
  <c r="J14" i="1" s="1"/>
  <c r="D21" i="1"/>
  <c r="J21" i="1" s="1"/>
  <c r="D13" i="1"/>
  <c r="J13" i="1" s="1"/>
  <c r="D20" i="1"/>
  <c r="J20" i="1" s="1"/>
  <c r="D6" i="1"/>
  <c r="J6" i="1" s="1"/>
  <c r="I13" i="2"/>
  <c r="J13" i="2" s="1"/>
  <c r="D19" i="1" l="1"/>
  <c r="J19" i="1" s="1"/>
  <c r="D5" i="1"/>
  <c r="J5" i="1" s="1"/>
  <c r="D12" i="1"/>
  <c r="J12" i="1" s="1"/>
  <c r="G26" i="1"/>
  <c r="N6" i="1" s="1"/>
  <c r="H26" i="1"/>
  <c r="N5" i="1" s="1"/>
  <c r="J26" i="1" l="1"/>
  <c r="O6" i="1" s="1"/>
  <c r="I26" i="1"/>
  <c r="O5" i="1" s="1"/>
  <c r="L26" i="1"/>
  <c r="O8" i="1" s="1"/>
  <c r="O9" i="1" l="1"/>
</calcChain>
</file>

<file path=xl/sharedStrings.xml><?xml version="1.0" encoding="utf-8"?>
<sst xmlns="http://schemas.openxmlformats.org/spreadsheetml/2006/main" count="170" uniqueCount="74">
  <si>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</si>
  <si>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</si>
  <si>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</si>
  <si>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</si>
  <si>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</si>
  <si>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</si>
  <si>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</si>
  <si>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</si>
  <si>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</si>
  <si>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</si>
  <si>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</si>
  <si>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</si>
  <si>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</si>
  <si>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</si>
  <si>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</si>
  <si>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</si>
  <si>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</si>
  <si>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</si>
  <si>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</si>
  <si>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</si>
  <si>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</si>
  <si>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</si>
  <si>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</si>
  <si>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</si>
  <si>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</si>
  <si>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</si>
  <si>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</si>
  <si>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</si>
  <si>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</si>
  <si>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</si>
  <si>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</si>
  <si>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</si>
  <si>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</si>
  <si>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</si>
  <si>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</si>
  <si>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</si>
  <si>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</si>
  <si>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</si>
  <si>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</si>
  <si>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</si>
  <si>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</si>
  <si>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</si>
  <si>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</si>
  <si>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</si>
  <si>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</si>
  <si>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</si>
  <si>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</si>
  <si>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</si>
  <si>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</si>
  <si>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</si>
  <si>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</si>
  <si>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 xml:space="preserve">[MW] 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</si>
  <si>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</si>
  <si>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</si>
  <si>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</si>
  <si>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</si>
  <si>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</si>
  <si>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</si>
  <si>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Conceptos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</si>
  <si>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</si>
  <si>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</si>
  <si>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</si>
  <si>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</si>
  <si>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</si>
  <si>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</si>
  <si>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</si>
  <si>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Potencia kW-mes</t>
  </si>
  <si>
    <t>ENEL Dx</t>
  </si>
  <si>
    <t>Facturación con Factor de Ajuste</t>
  </si>
  <si>
    <t>Energía kWh</t>
  </si>
  <si>
    <t xml:space="preserve">PNP 19T-21 </t>
  </si>
  <si>
    <t xml:space="preserve"> ITD Enero 2021</t>
  </si>
  <si>
    <t>12T/2020</t>
  </si>
  <si>
    <t>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</si>
</sst>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0.0000"/>
    <numFmt numFmtId="165" formatCode="0.000"/>
    <numFmt numFmtId="166" formatCode="#,##0.0000"/>
    <numFmt numFmtId="167" formatCode="#,##0.000"/>
    <numFmt numFmtId="168" formatCode="0.000000"/>
    <numFmt numFmtId="169" formatCode="_-* #,##0.00\ _€_-;\-* #,##0.00\ _€_-;_-* &quot;-&quot;??\ _€_-;_-@_-"/>
    <numFmt numFmtId="170" formatCode="_-* #,##0\ _€_-;\-* #,##0\ _€_-;_-* &quot;-&quot;??\ _€_-;_-@_-"/>
  </numFmts>
  <fonts count="15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3">
    <xf numFmtId="0" fontId="0" fillId="0" borderId="0"/>
    <xf numFmtId="169" fontId="13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136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5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7" fillId="8" borderId="0" xfId="0" applyFont="1" applyFill="1" applyAlignment="1">
      <alignment horizontal="center"/>
    </xf>
    <xf numFmtId="0" fontId="8" fillId="9" borderId="17" xfId="0" applyFont="1" applyFill="1" applyBorder="1" applyAlignment="1">
      <alignment horizontal="center" vertical="center"/>
    </xf>
    <xf numFmtId="0" fontId="8" fillId="9" borderId="18" xfId="0" applyFont="1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9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1" fillId="0" borderId="0" xfId="0" applyFont="1"/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9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8" fontId="4" fillId="0" borderId="0" xfId="0" applyNumberFormat="1" applyFont="1"/>
    <xf numFmtId="164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0" fillId="0" borderId="21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165" fontId="5" fillId="0" borderId="0" xfId="0" applyNumberFormat="1" applyFont="1"/>
    <xf numFmtId="3" fontId="2" fillId="3" borderId="2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/>
    </xf>
    <xf numFmtId="3" fontId="0" fillId="9" borderId="7" xfId="0" applyNumberFormat="1" applyFill="1" applyBorder="1" applyAlignment="1">
      <alignment horizontal="center" vertical="center"/>
    </xf>
    <xf numFmtId="3" fontId="1" fillId="10" borderId="19" xfId="0" applyNumberFormat="1" applyFont="1" applyFill="1" applyBorder="1" applyAlignment="1">
      <alignment horizontal="center" vertical="center"/>
    </xf>
    <xf numFmtId="3" fontId="1" fillId="10" borderId="16" xfId="0" applyNumberFormat="1" applyFont="1" applyFill="1" applyBorder="1" applyAlignment="1">
      <alignment horizontal="center" vertical="center"/>
    </xf>
    <xf numFmtId="0" fontId="8" fillId="12" borderId="23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0" fontId="8" fillId="12" borderId="24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11" xfId="0" applyNumberFormat="1" applyBorder="1" applyAlignment="1">
      <alignment horizontal="center"/>
    </xf>
    <xf numFmtId="165" fontId="0" fillId="0" borderId="5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0" fillId="0" borderId="2" xfId="0" applyNumberFormat="1" applyFill="1" applyBorder="1" applyAlignment="1">
      <alignment horizontal="center" vertical="center"/>
    </xf>
    <xf numFmtId="167" fontId="4" fillId="0" borderId="10" xfId="0" applyNumberFormat="1" applyFont="1" applyBorder="1" applyAlignment="1">
      <alignment horizontal="center"/>
    </xf>
    <xf numFmtId="167" fontId="0" fillId="0" borderId="0" xfId="0" applyNumberFormat="1"/>
    <xf numFmtId="0" fontId="0" fillId="0" borderId="1" xfId="0" applyFill="1" applyBorder="1"/>
    <xf numFmtId="167" fontId="0" fillId="0" borderId="4" xfId="0" applyNumberFormat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0" fillId="0" borderId="0" xfId="0" applyNumberFormat="1" applyFill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/>
    </xf>
    <xf numFmtId="0" fontId="1" fillId="11" borderId="15" xfId="0" applyFont="1" applyFill="1" applyBorder="1" applyAlignment="1">
      <alignment horizontal="center"/>
    </xf>
    <xf numFmtId="0" fontId="1" fillId="11" borderId="13" xfId="0" applyFont="1" applyFill="1" applyBorder="1" applyAlignment="1">
      <alignment horizontal="center"/>
    </xf>
    <xf numFmtId="170" fontId="0" fillId="0" borderId="16" xfId="1" applyNumberFormat="1" applyFont="1" applyFill="1" applyBorder="1" applyAlignment="1"/>
    <xf numFmtId="170" fontId="0" fillId="0" borderId="16" xfId="1" applyNumberFormat="1" applyFont="1" applyBorder="1" applyAlignment="1"/>
    <xf numFmtId="3" fontId="1" fillId="10" borderId="3" xfId="0" applyNumberFormat="1" applyFont="1" applyFill="1" applyBorder="1" applyAlignment="1">
      <alignment horizontal="center" vertical="center"/>
    </xf>
    <xf numFmtId="3" fontId="1" fillId="10" borderId="8" xfId="0" applyNumberFormat="1" applyFont="1" applyFill="1" applyBorder="1" applyAlignment="1">
      <alignment horizontal="center" vertical="center"/>
    </xf>
    <xf numFmtId="0" fontId="8" fillId="12" borderId="25" xfId="0" applyFont="1" applyFill="1" applyBorder="1" applyAlignment="1">
      <alignment horizontal="center" vertical="center"/>
    </xf>
    <xf numFmtId="4" fontId="0" fillId="0" borderId="0" xfId="0" applyNumberFormat="1" applyBorder="1"/>
    <xf numFmtId="4" fontId="0" fillId="0" borderId="0" xfId="2" applyNumberFormat="1" applyFont="1" applyFill="1" applyBorder="1" applyAlignment="1"/>
    <xf numFmtId="170" fontId="0" fillId="0" borderId="0" xfId="0" applyNumberFormat="1" applyBorder="1"/>
    <xf numFmtId="4" fontId="12" fillId="0" borderId="0" xfId="0" applyNumberFormat="1" applyFont="1" applyBorder="1"/>
    <xf numFmtId="4" fontId="0" fillId="0" borderId="0" xfId="2" applyNumberFormat="1" applyFont="1" applyBorder="1" applyAlignment="1"/>
    <xf numFmtId="4" fontId="0" fillId="0" borderId="0" xfId="0" applyNumberFormat="1" applyBorder="1" applyAlignment="1">
      <alignment vertical="center"/>
    </xf>
    <xf numFmtId="0" fontId="0" fillId="0" borderId="0" xfId="0" applyBorder="1"/>
  </cellXfs>
  <cellStyles count="3">
    <cellStyle name="Millares" xfId="2" builtinId="3"/>
    <cellStyle name="Millares 2" xfId="1" xr:uid="{76D01612-BFDE-4E56-873C-6638C91E9CAC}"/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53"/>
  <sheetViews>
    <sheetView zoomScale="90" zoomScaleNormal="90" workbookViewId="0">
      <selection activeCell="K38" sqref="K38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5"/>
      <c r="B2" s="55"/>
      <c r="C2" s="67"/>
      <c r="D2" s="68"/>
      <c r="E2" s="55"/>
      <c r="F2" s="52"/>
      <c r="G2" s="52"/>
      <c r="H2" s="53"/>
      <c r="I2" s="111" t="s">
        <v>17</v>
      </c>
      <c r="J2" s="112"/>
      <c r="K2" s="112"/>
      <c r="L2" s="113"/>
    </row>
    <row r="3" spans="1:15" x14ac:dyDescent="0.25">
      <c r="A3" s="114" t="s">
        <v>15</v>
      </c>
      <c r="B3" s="117" t="s">
        <v>0</v>
      </c>
      <c r="C3" s="119" t="s">
        <v>1</v>
      </c>
      <c r="D3" s="58" t="s">
        <v>2</v>
      </c>
      <c r="E3" s="56" t="s">
        <v>3</v>
      </c>
      <c r="F3" s="31" t="s">
        <v>40</v>
      </c>
      <c r="G3" s="1" t="s">
        <v>4</v>
      </c>
      <c r="H3" s="2" t="s">
        <v>5</v>
      </c>
      <c r="I3" s="51" t="s">
        <v>38</v>
      </c>
      <c r="J3" s="50" t="s">
        <v>4</v>
      </c>
      <c r="K3" s="50" t="s">
        <v>37</v>
      </c>
      <c r="L3" s="39" t="s">
        <v>40</v>
      </c>
      <c r="N3" s="116" t="s">
        <v>68</v>
      </c>
      <c r="O3" s="116"/>
    </row>
    <row r="4" spans="1:15" ht="14.4" x14ac:dyDescent="0.3">
      <c r="A4" s="115"/>
      <c r="B4" s="118"/>
      <c r="C4" s="120"/>
      <c r="D4" s="59" t="s">
        <v>6</v>
      </c>
      <c r="E4" s="57" t="s">
        <v>7</v>
      </c>
      <c r="F4" s="32" t="s">
        <v>47</v>
      </c>
      <c r="G4" s="3" t="s">
        <v>51</v>
      </c>
      <c r="H4" s="4" t="s">
        <v>8</v>
      </c>
      <c r="I4" s="62" t="s">
        <v>14</v>
      </c>
      <c r="J4" s="60" t="s">
        <v>14</v>
      </c>
      <c r="K4" s="60" t="s">
        <v>14</v>
      </c>
      <c r="L4" s="61" t="s">
        <v>14</v>
      </c>
      <c r="N4" s="10" t="s">
        <v>58</v>
      </c>
      <c r="O4" s="10" t="s">
        <v>59</v>
      </c>
    </row>
    <row r="5" spans="1:15" x14ac:dyDescent="0.25">
      <c r="A5" t="s">
        <v>59</v>
      </c>
      <c r="B5" s="5" t="s">
        <v>9</v>
      </c>
      <c r="C5" s="6" t="s">
        <v>16</v>
      </c>
      <c r="D5" s="108">
        <f>ROUND(VLOOKUP($C5,Px!$B$13:$K$19,9,0),4)</f>
        <v>5563.2683999999999</v>
      </c>
      <c r="E5" s="102">
        <f>VLOOKUP(C5,Px!$B$13:$K$19,10,0)</f>
        <v>58.893999999999998</v>
      </c>
      <c r="F5" s="40"/>
      <c r="G5" s="7"/>
      <c r="H5" s="80">
        <f>ROUND('ENEL DX'!$C$6,0)</f>
        <v>645716</v>
      </c>
      <c r="I5" s="78">
        <f>ROUND(H5*E5,0)</f>
        <v>38028798</v>
      </c>
      <c r="J5" s="79">
        <f>ROUND(G5*D5,0)</f>
        <v>0</v>
      </c>
      <c r="K5" s="82">
        <v>279</v>
      </c>
      <c r="L5" s="80"/>
      <c r="N5" s="11" t="str">
        <f>"Active Energy: "&amp;TEXT(H26," #,###,###")&amp;" kWh"</f>
        <v>Active Energy:  10,706,822 kWh</v>
      </c>
      <c r="O5" s="12">
        <f>I26</f>
        <v>639672771</v>
      </c>
    </row>
    <row r="6" spans="1:15" x14ac:dyDescent="0.25">
      <c r="A6" t="s">
        <v>59</v>
      </c>
      <c r="B6" t="s">
        <v>9</v>
      </c>
      <c r="C6" s="8" t="s">
        <v>60</v>
      </c>
      <c r="D6" s="109">
        <f>ROUND(VLOOKUP($C6,Px!$B$13:$K$19,9,0),4)</f>
        <v>5663.5933000000005</v>
      </c>
      <c r="E6" s="103">
        <f>VLOOKUP(C6,Px!$B$13:$K$19,10,0)</f>
        <v>60.101999999999997</v>
      </c>
      <c r="F6" s="41"/>
      <c r="G6" s="9"/>
      <c r="H6" s="83">
        <f>ROUND('ENEL DX'!$D$6,0)</f>
        <v>616546</v>
      </c>
      <c r="I6" s="81">
        <f t="shared" ref="I6:I25" si="0">ROUND(H6*E6,0)</f>
        <v>37055648</v>
      </c>
      <c r="J6" s="82">
        <f t="shared" ref="J6:J25" si="1">ROUND(G6*D6,0)</f>
        <v>0</v>
      </c>
      <c r="K6" s="82">
        <v>0</v>
      </c>
      <c r="L6" s="83"/>
      <c r="N6" s="11" t="str">
        <f>"Capacity: "&amp;TEXT(G26,"#,###")&amp;" kW"</f>
        <v>Capacity: 6,469 kW</v>
      </c>
      <c r="O6" s="12">
        <f>J26</f>
        <v>36443257</v>
      </c>
    </row>
    <row r="7" spans="1:15" x14ac:dyDescent="0.25">
      <c r="A7" t="s">
        <v>59</v>
      </c>
      <c r="B7" t="s">
        <v>9</v>
      </c>
      <c r="C7" s="107" t="s">
        <v>61</v>
      </c>
      <c r="D7" s="110">
        <f>ROUND(VLOOKUP($C7,Px!$B$13:$K$19,9,0),4)</f>
        <v>5664.7142999999996</v>
      </c>
      <c r="E7" s="103">
        <f>VLOOKUP(C7,Px!$B$13:$K$19,10,0)</f>
        <v>59.74</v>
      </c>
      <c r="F7" s="41"/>
      <c r="G7" s="9"/>
      <c r="H7" s="83">
        <f>ROUND('ENEL DX'!$E$6,0)</f>
        <v>1316429</v>
      </c>
      <c r="I7" s="81">
        <f t="shared" si="0"/>
        <v>78643468</v>
      </c>
      <c r="J7" s="82">
        <f t="shared" si="1"/>
        <v>0</v>
      </c>
      <c r="K7" s="82">
        <v>0</v>
      </c>
      <c r="L7" s="83"/>
      <c r="N7" s="11" t="s">
        <v>13</v>
      </c>
      <c r="O7" s="12">
        <f>K26</f>
        <v>827</v>
      </c>
    </row>
    <row r="8" spans="1:15" x14ac:dyDescent="0.25">
      <c r="A8" t="s">
        <v>59</v>
      </c>
      <c r="B8" t="s">
        <v>9</v>
      </c>
      <c r="C8" s="107" t="s">
        <v>62</v>
      </c>
      <c r="D8" s="110">
        <f>ROUND(VLOOKUP($C8,Px!$B$13:$K$19,9,0),4)</f>
        <v>5749.3459000000003</v>
      </c>
      <c r="E8" s="103">
        <f>VLOOKUP(C8,Px!$B$13:$K$19,10,0)</f>
        <v>63.228999999999999</v>
      </c>
      <c r="F8" s="41"/>
      <c r="G8" s="9"/>
      <c r="H8" s="83">
        <f>ROUND('ENEL DX'!$F$6,0)</f>
        <v>1716</v>
      </c>
      <c r="I8" s="81">
        <f t="shared" si="0"/>
        <v>108501</v>
      </c>
      <c r="J8" s="82">
        <f t="shared" si="1"/>
        <v>0</v>
      </c>
      <c r="K8" s="82">
        <v>0</v>
      </c>
      <c r="L8" s="83"/>
      <c r="N8" s="11" t="s">
        <v>40</v>
      </c>
      <c r="O8" s="12">
        <f>L26</f>
        <v>0</v>
      </c>
    </row>
    <row r="9" spans="1:15" x14ac:dyDescent="0.25">
      <c r="A9" t="s">
        <v>59</v>
      </c>
      <c r="B9" t="s">
        <v>9</v>
      </c>
      <c r="C9" s="107" t="s">
        <v>63</v>
      </c>
      <c r="D9" s="110">
        <f>ROUND(VLOOKUP($C9,Px!$B$13:$K$19,9,0),4)</f>
        <v>5527.9584999999997</v>
      </c>
      <c r="E9" s="103">
        <f>VLOOKUP(C9,Px!$B$13:$K$19,10,0)</f>
        <v>57.094000000000001</v>
      </c>
      <c r="F9" s="41"/>
      <c r="G9" s="9"/>
      <c r="H9" s="83">
        <f>ROUND('ENEL DX'!$G$6,0)</f>
        <v>733</v>
      </c>
      <c r="I9" s="81">
        <f t="shared" si="0"/>
        <v>41850</v>
      </c>
      <c r="J9" s="82">
        <f t="shared" si="1"/>
        <v>0</v>
      </c>
      <c r="K9" s="82">
        <v>0</v>
      </c>
      <c r="L9" s="83"/>
      <c r="N9" s="13" t="s">
        <v>12</v>
      </c>
      <c r="O9" s="14">
        <f>SUM(O5:O8)</f>
        <v>676116855</v>
      </c>
    </row>
    <row r="10" spans="1:15" x14ac:dyDescent="0.25">
      <c r="A10" t="s">
        <v>59</v>
      </c>
      <c r="B10" t="s">
        <v>9</v>
      </c>
      <c r="C10" s="107" t="s">
        <v>64</v>
      </c>
      <c r="D10" s="110">
        <f>ROUND(VLOOKUP($C10,Px!$B$13:$K$19,9,0),4)</f>
        <v>5604.7434999999996</v>
      </c>
      <c r="E10" s="103">
        <f>VLOOKUP(C10,Px!$B$13:$K$19,10,0)</f>
        <v>60.386000000000003</v>
      </c>
      <c r="F10" s="41"/>
      <c r="G10" s="9"/>
      <c r="H10" s="83">
        <f>ROUND('ENEL DX'!$H$6,0)</f>
        <v>503351</v>
      </c>
      <c r="I10" s="81">
        <f t="shared" si="0"/>
        <v>30395353</v>
      </c>
      <c r="J10" s="82">
        <f t="shared" si="1"/>
        <v>0</v>
      </c>
      <c r="K10" s="82">
        <v>0</v>
      </c>
      <c r="L10" s="83"/>
    </row>
    <row r="11" spans="1:15" x14ac:dyDescent="0.25">
      <c r="A11" t="s">
        <v>59</v>
      </c>
      <c r="B11" t="s">
        <v>9</v>
      </c>
      <c r="C11" s="8" t="s">
        <v>65</v>
      </c>
      <c r="D11" s="109">
        <f>ROUND(VLOOKUP($C11,Px!$B$13:$K$19,9,0),4)</f>
        <v>5616.5135</v>
      </c>
      <c r="E11" s="103">
        <f>VLOOKUP(C11,Px!$B$13:$K$19,10,0)</f>
        <v>61.316000000000003</v>
      </c>
      <c r="F11" s="41"/>
      <c r="G11" s="9"/>
      <c r="H11" s="83">
        <f>ROUND('ENEL DX'!$I$6,0)</f>
        <v>7188</v>
      </c>
      <c r="I11" s="81">
        <f t="shared" si="0"/>
        <v>440739</v>
      </c>
      <c r="J11" s="82">
        <f t="shared" si="1"/>
        <v>0</v>
      </c>
      <c r="K11" s="82">
        <v>0</v>
      </c>
      <c r="L11" s="83"/>
    </row>
    <row r="12" spans="1:15" x14ac:dyDescent="0.25">
      <c r="A12" t="s">
        <v>59</v>
      </c>
      <c r="B12" t="s">
        <v>10</v>
      </c>
      <c r="C12" s="8" t="s">
        <v>16</v>
      </c>
      <c r="D12" s="16">
        <f>ROUND(VLOOKUP($C12,Px!$B$13:$K$19,9,0),4)</f>
        <v>5563.2683999999999</v>
      </c>
      <c r="E12" s="103">
        <f>VLOOKUP(C12,Px!$B$13:$K$19,10,0)</f>
        <v>58.893999999999998</v>
      </c>
      <c r="F12" s="41"/>
      <c r="G12" s="9"/>
      <c r="H12" s="83">
        <f>ROUND('ENEL DX'!$C$7,0)</f>
        <v>1064492</v>
      </c>
      <c r="I12" s="81">
        <f t="shared" si="0"/>
        <v>62692192</v>
      </c>
      <c r="J12" s="82">
        <f t="shared" si="1"/>
        <v>0</v>
      </c>
      <c r="K12" s="82">
        <v>361</v>
      </c>
      <c r="L12" s="83"/>
      <c r="O12" s="85"/>
    </row>
    <row r="13" spans="1:15" x14ac:dyDescent="0.25">
      <c r="A13" t="s">
        <v>59</v>
      </c>
      <c r="B13" t="s">
        <v>10</v>
      </c>
      <c r="C13" s="8" t="s">
        <v>60</v>
      </c>
      <c r="D13" s="16">
        <f>ROUND(VLOOKUP($C13,Px!$B$13:$K$19,9,0),4)</f>
        <v>5663.5933000000005</v>
      </c>
      <c r="E13" s="103">
        <f>VLOOKUP(C13,Px!$B$13:$K$19,10,0)</f>
        <v>60.101999999999997</v>
      </c>
      <c r="F13" s="41"/>
      <c r="G13" s="9"/>
      <c r="H13" s="83">
        <f>ROUND('ENEL DX'!$D$7,0)</f>
        <v>1007388</v>
      </c>
      <c r="I13" s="81">
        <f t="shared" si="0"/>
        <v>60546034</v>
      </c>
      <c r="J13" s="82">
        <f t="shared" si="1"/>
        <v>0</v>
      </c>
      <c r="K13" s="82">
        <v>0</v>
      </c>
      <c r="L13" s="83"/>
    </row>
    <row r="14" spans="1:15" x14ac:dyDescent="0.25">
      <c r="A14" t="s">
        <v>59</v>
      </c>
      <c r="B14" t="s">
        <v>10</v>
      </c>
      <c r="C14" s="8" t="s">
        <v>61</v>
      </c>
      <c r="D14" s="16">
        <f>ROUND(VLOOKUP($C14,Px!$B$13:$K$19,9,0),4)</f>
        <v>5664.7142999999996</v>
      </c>
      <c r="E14" s="103">
        <f>VLOOKUP(C14,Px!$B$13:$K$19,10,0)</f>
        <v>59.74</v>
      </c>
      <c r="F14" s="41"/>
      <c r="G14" s="9"/>
      <c r="H14" s="83">
        <f>ROUND('ENEL DX'!$E$7,0)</f>
        <v>2121911</v>
      </c>
      <c r="I14" s="81">
        <f t="shared" si="0"/>
        <v>126762963</v>
      </c>
      <c r="J14" s="82">
        <f t="shared" si="1"/>
        <v>0</v>
      </c>
      <c r="K14" s="82">
        <v>0</v>
      </c>
      <c r="L14" s="83"/>
    </row>
    <row r="15" spans="1:15" x14ac:dyDescent="0.25">
      <c r="A15" t="s">
        <v>59</v>
      </c>
      <c r="B15" t="s">
        <v>10</v>
      </c>
      <c r="C15" s="8" t="s">
        <v>62</v>
      </c>
      <c r="D15" s="16">
        <f>ROUND(VLOOKUP($C15,Px!$B$13:$K$19,9,0),4)</f>
        <v>5749.3459000000003</v>
      </c>
      <c r="E15" s="103">
        <f>VLOOKUP(C15,Px!$B$13:$K$19,10,0)</f>
        <v>63.228999999999999</v>
      </c>
      <c r="F15" s="41"/>
      <c r="G15" s="9"/>
      <c r="H15" s="83">
        <f>ROUND('ENEL DX'!$F$7,0)</f>
        <v>2212</v>
      </c>
      <c r="I15" s="81">
        <f t="shared" si="0"/>
        <v>139863</v>
      </c>
      <c r="J15" s="82">
        <f t="shared" si="1"/>
        <v>0</v>
      </c>
      <c r="K15" s="82">
        <v>0</v>
      </c>
      <c r="L15" s="83"/>
    </row>
    <row r="16" spans="1:15" x14ac:dyDescent="0.25">
      <c r="A16" t="s">
        <v>59</v>
      </c>
      <c r="B16" t="s">
        <v>10</v>
      </c>
      <c r="C16" s="8" t="s">
        <v>63</v>
      </c>
      <c r="D16" s="16">
        <f>ROUND(VLOOKUP($C16,Px!$B$13:$K$19,9,0),4)</f>
        <v>5527.9584999999997</v>
      </c>
      <c r="E16" s="103">
        <f>VLOOKUP(C16,Px!$B$13:$K$19,10,0)</f>
        <v>57.094000000000001</v>
      </c>
      <c r="F16" s="41"/>
      <c r="G16" s="9"/>
      <c r="H16" s="83">
        <f>ROUND('ENEL DX'!$G$7,0)</f>
        <v>956</v>
      </c>
      <c r="I16" s="81">
        <f t="shared" si="0"/>
        <v>54582</v>
      </c>
      <c r="J16" s="82">
        <f t="shared" si="1"/>
        <v>0</v>
      </c>
      <c r="K16" s="82">
        <v>0</v>
      </c>
      <c r="L16" s="83"/>
    </row>
    <row r="17" spans="1:13" x14ac:dyDescent="0.25">
      <c r="A17" t="s">
        <v>59</v>
      </c>
      <c r="B17" t="s">
        <v>10</v>
      </c>
      <c r="C17" s="8" t="s">
        <v>64</v>
      </c>
      <c r="D17" s="16">
        <f>ROUND(VLOOKUP($C17,Px!$B$13:$K$19,9,0),4)</f>
        <v>5604.7434999999996</v>
      </c>
      <c r="E17" s="103">
        <f>VLOOKUP(C17,Px!$B$13:$K$19,10,0)</f>
        <v>60.386000000000003</v>
      </c>
      <c r="F17" s="41"/>
      <c r="G17" s="9"/>
      <c r="H17" s="83">
        <f>ROUND('ENEL DX'!$H$7,0)</f>
        <v>827662</v>
      </c>
      <c r="I17" s="81">
        <f t="shared" si="0"/>
        <v>49979198</v>
      </c>
      <c r="J17" s="82">
        <f t="shared" si="1"/>
        <v>0</v>
      </c>
      <c r="K17" s="82">
        <v>0</v>
      </c>
      <c r="L17" s="83"/>
    </row>
    <row r="18" spans="1:13" x14ac:dyDescent="0.25">
      <c r="A18" t="s">
        <v>59</v>
      </c>
      <c r="B18" t="s">
        <v>10</v>
      </c>
      <c r="C18" s="8" t="s">
        <v>65</v>
      </c>
      <c r="D18" s="16">
        <f>ROUND(VLOOKUP($C18,Px!$B$13:$K$19,9,0),4)</f>
        <v>5616.5135</v>
      </c>
      <c r="E18" s="103">
        <f>VLOOKUP(C18,Px!$B$13:$K$19,10,0)</f>
        <v>61.316000000000003</v>
      </c>
      <c r="F18" s="41"/>
      <c r="G18" s="9"/>
      <c r="H18" s="83">
        <f>ROUND('ENEL DX'!$I$7,0)</f>
        <v>12191</v>
      </c>
      <c r="I18" s="81">
        <f t="shared" si="0"/>
        <v>747503</v>
      </c>
      <c r="J18" s="82">
        <f t="shared" si="1"/>
        <v>0</v>
      </c>
      <c r="K18" s="82">
        <v>0</v>
      </c>
      <c r="L18" s="83"/>
    </row>
    <row r="19" spans="1:13" x14ac:dyDescent="0.25">
      <c r="A19" t="s">
        <v>59</v>
      </c>
      <c r="B19" t="s">
        <v>11</v>
      </c>
      <c r="C19" s="8" t="s">
        <v>16</v>
      </c>
      <c r="D19" s="16">
        <f>ROUND(VLOOKUP($C19,Px!$B$13:$K$19,9,0),4)</f>
        <v>5563.2683999999999</v>
      </c>
      <c r="E19" s="103">
        <f>VLOOKUP(C19,Px!$B$13:$K$19,10,0)</f>
        <v>58.893999999999998</v>
      </c>
      <c r="F19" s="41"/>
      <c r="G19" s="100">
        <f>'ENEL DX'!K8</f>
        <v>1357</v>
      </c>
      <c r="H19" s="83">
        <f>ROUND('ENEL DX'!$C$8,0)</f>
        <v>540898</v>
      </c>
      <c r="I19" s="81">
        <f t="shared" si="0"/>
        <v>31855647</v>
      </c>
      <c r="J19" s="82">
        <f t="shared" si="1"/>
        <v>7549355</v>
      </c>
      <c r="K19" s="82">
        <v>187</v>
      </c>
      <c r="L19" s="83"/>
    </row>
    <row r="20" spans="1:13" x14ac:dyDescent="0.25">
      <c r="A20" t="s">
        <v>59</v>
      </c>
      <c r="B20" t="s">
        <v>11</v>
      </c>
      <c r="C20" s="8" t="s">
        <v>60</v>
      </c>
      <c r="D20" s="16">
        <f>ROUND(VLOOKUP($C20,Px!$B$13:$K$19,9,0),4)</f>
        <v>5663.5933000000005</v>
      </c>
      <c r="E20" s="103">
        <f>VLOOKUP(C20,Px!$B$13:$K$19,10,0)</f>
        <v>60.101999999999997</v>
      </c>
      <c r="F20" s="41"/>
      <c r="G20" s="100">
        <f>'ENEL DX'!L8</f>
        <v>1287</v>
      </c>
      <c r="H20" s="83">
        <f>ROUND('ENEL DX'!$D$8,0)</f>
        <v>512796</v>
      </c>
      <c r="I20" s="81">
        <f t="shared" si="0"/>
        <v>30820065</v>
      </c>
      <c r="J20" s="82">
        <f t="shared" si="1"/>
        <v>7289045</v>
      </c>
      <c r="K20" s="82">
        <v>0</v>
      </c>
      <c r="L20" s="83"/>
    </row>
    <row r="21" spans="1:13" x14ac:dyDescent="0.25">
      <c r="A21" t="s">
        <v>59</v>
      </c>
      <c r="B21" t="s">
        <v>11</v>
      </c>
      <c r="C21" s="8" t="s">
        <v>61</v>
      </c>
      <c r="D21" s="16">
        <f>ROUND(VLOOKUP($C21,Px!$B$13:$K$19,9,0),4)</f>
        <v>5664.7142999999996</v>
      </c>
      <c r="E21" s="103">
        <f>VLOOKUP(C21,Px!$B$13:$K$19,10,0)</f>
        <v>59.74</v>
      </c>
      <c r="F21" s="41"/>
      <c r="G21" s="100">
        <f>'ENEL DX'!M8</f>
        <v>2771</v>
      </c>
      <c r="H21" s="83">
        <f>ROUND('ENEL DX'!$E$8,0)</f>
        <v>1104450</v>
      </c>
      <c r="I21" s="81">
        <f t="shared" si="0"/>
        <v>65979843</v>
      </c>
      <c r="J21" s="82">
        <f t="shared" si="1"/>
        <v>15696923</v>
      </c>
      <c r="K21" s="82">
        <v>0</v>
      </c>
      <c r="L21" s="83"/>
    </row>
    <row r="22" spans="1:13" x14ac:dyDescent="0.25">
      <c r="A22" t="s">
        <v>59</v>
      </c>
      <c r="B22" t="s">
        <v>11</v>
      </c>
      <c r="C22" s="8" t="s">
        <v>62</v>
      </c>
      <c r="D22" s="16">
        <f>ROUND(VLOOKUP($C22,Px!$B$13:$K$19,9,0),4)</f>
        <v>5749.3459000000003</v>
      </c>
      <c r="E22" s="103">
        <f>VLOOKUP(C22,Px!$B$13:$K$19,10,0)</f>
        <v>63.228999999999999</v>
      </c>
      <c r="F22" s="41"/>
      <c r="G22" s="100">
        <f>'ENEL DX'!N8</f>
        <v>3</v>
      </c>
      <c r="H22" s="83">
        <f>ROUND('ENEL DX'!$F$8,0)</f>
        <v>1141</v>
      </c>
      <c r="I22" s="81">
        <f t="shared" si="0"/>
        <v>72144</v>
      </c>
      <c r="J22" s="82">
        <f t="shared" si="1"/>
        <v>17248</v>
      </c>
      <c r="K22" s="93">
        <v>0</v>
      </c>
      <c r="L22" s="83"/>
    </row>
    <row r="23" spans="1:13" x14ac:dyDescent="0.25">
      <c r="A23" t="s">
        <v>59</v>
      </c>
      <c r="B23" t="s">
        <v>11</v>
      </c>
      <c r="C23" s="8" t="s">
        <v>63</v>
      </c>
      <c r="D23" s="16">
        <f>ROUND(VLOOKUP($C23,Px!$B$13:$K$19,9,0),4)</f>
        <v>5527.9584999999997</v>
      </c>
      <c r="E23" s="103">
        <f>VLOOKUP(C23,Px!$B$13:$K$19,10,0)</f>
        <v>57.094000000000001</v>
      </c>
      <c r="F23" s="41"/>
      <c r="G23" s="100">
        <f>'ENEL DX'!O8</f>
        <v>1</v>
      </c>
      <c r="H23" s="83">
        <f>ROUND('ENEL DX'!$G$8,0)</f>
        <v>497</v>
      </c>
      <c r="I23" s="81">
        <f t="shared" si="0"/>
        <v>28376</v>
      </c>
      <c r="J23" s="82">
        <f t="shared" si="1"/>
        <v>5528</v>
      </c>
      <c r="K23" s="82">
        <v>0</v>
      </c>
      <c r="L23" s="83"/>
    </row>
    <row r="24" spans="1:13" x14ac:dyDescent="0.25">
      <c r="A24" t="s">
        <v>59</v>
      </c>
      <c r="B24" t="s">
        <v>11</v>
      </c>
      <c r="C24" s="8" t="s">
        <v>64</v>
      </c>
      <c r="D24" s="16">
        <f>ROUND(VLOOKUP($C24,Px!$B$13:$K$19,9,0),4)</f>
        <v>5604.7434999999996</v>
      </c>
      <c r="E24" s="103">
        <f>VLOOKUP(C24,Px!$B$13:$K$19,10,0)</f>
        <v>60.386000000000003</v>
      </c>
      <c r="F24" s="41"/>
      <c r="G24" s="100">
        <f>'ENEL DX'!P8</f>
        <v>1035</v>
      </c>
      <c r="H24" s="83">
        <f>ROUND('ENEL DX'!$H$8,0)</f>
        <v>412630</v>
      </c>
      <c r="I24" s="81">
        <f t="shared" si="0"/>
        <v>24917075</v>
      </c>
      <c r="J24" s="82">
        <f t="shared" si="1"/>
        <v>5800910</v>
      </c>
      <c r="K24" s="82">
        <v>0</v>
      </c>
      <c r="L24" s="83"/>
    </row>
    <row r="25" spans="1:13" x14ac:dyDescent="0.25">
      <c r="A25" t="s">
        <v>59</v>
      </c>
      <c r="B25" t="s">
        <v>11</v>
      </c>
      <c r="C25" t="s">
        <v>65</v>
      </c>
      <c r="D25" s="74">
        <f>ROUND(VLOOKUP($C25,Px!$B$13:$K$19,9,0),4)</f>
        <v>5616.5135</v>
      </c>
      <c r="E25" s="104">
        <f>VLOOKUP(C25,Px!$B$13:$K$19,10,0)</f>
        <v>61.316000000000003</v>
      </c>
      <c r="F25" s="75"/>
      <c r="G25" s="101">
        <f>'ENEL DX'!Q8</f>
        <v>15</v>
      </c>
      <c r="H25" s="83">
        <f>ROUND('ENEL DX'!$I$8,0)</f>
        <v>5919</v>
      </c>
      <c r="I25" s="76">
        <f t="shared" si="0"/>
        <v>362929</v>
      </c>
      <c r="J25" s="77">
        <f t="shared" si="1"/>
        <v>84248</v>
      </c>
      <c r="K25" s="77">
        <v>0</v>
      </c>
      <c r="L25" s="77"/>
      <c r="M25" s="84"/>
    </row>
    <row r="26" spans="1:13" ht="14.4" x14ac:dyDescent="0.3">
      <c r="A26" s="17"/>
      <c r="B26" s="17"/>
      <c r="C26" s="17"/>
      <c r="D26" s="17"/>
      <c r="E26" s="38"/>
      <c r="F26" s="73" t="s">
        <v>12</v>
      </c>
      <c r="G26" s="90">
        <f>SUM(G5:G25)</f>
        <v>6469</v>
      </c>
      <c r="H26" s="91">
        <f t="shared" ref="H26:K26" si="2">SUM(H5:H25)</f>
        <v>10706822</v>
      </c>
      <c r="I26" s="90">
        <f>SUM(I5:I25)</f>
        <v>639672771</v>
      </c>
      <c r="J26" s="90">
        <f>SUM(J5:J25)</f>
        <v>36443257</v>
      </c>
      <c r="K26" s="90">
        <f t="shared" si="2"/>
        <v>827</v>
      </c>
      <c r="L26" s="91">
        <f>SUM(L5:L25)</f>
        <v>0</v>
      </c>
    </row>
    <row r="28" spans="1:13" x14ac:dyDescent="0.25">
      <c r="E28" s="11" t="s">
        <v>55</v>
      </c>
      <c r="F28" t="s">
        <v>56</v>
      </c>
    </row>
    <row r="31" spans="1:13" x14ac:dyDescent="0.25">
      <c r="I31" s="129"/>
      <c r="J31" s="130"/>
      <c r="K31" s="131"/>
    </row>
    <row r="32" spans="1:13" ht="13.8" x14ac:dyDescent="0.25">
      <c r="I32" s="132"/>
      <c r="J32" s="130"/>
      <c r="K32" s="131"/>
    </row>
    <row r="33" spans="9:15" x14ac:dyDescent="0.25">
      <c r="I33" s="129"/>
      <c r="J33" s="130"/>
      <c r="K33" s="131"/>
    </row>
    <row r="34" spans="9:15" x14ac:dyDescent="0.25">
      <c r="I34" s="129"/>
      <c r="J34" s="130"/>
      <c r="K34" s="131"/>
    </row>
    <row r="35" spans="9:15" x14ac:dyDescent="0.25">
      <c r="I35" s="129"/>
      <c r="J35" s="130"/>
      <c r="K35" s="131"/>
    </row>
    <row r="36" spans="9:15" x14ac:dyDescent="0.25">
      <c r="I36" s="129"/>
      <c r="J36" s="130"/>
      <c r="K36" s="131"/>
    </row>
    <row r="37" spans="9:15" x14ac:dyDescent="0.25">
      <c r="I37" s="129"/>
      <c r="J37" s="130"/>
      <c r="K37" s="131"/>
      <c r="N37" s="15"/>
      <c r="O37" s="15"/>
    </row>
    <row r="38" spans="9:15" x14ac:dyDescent="0.25">
      <c r="I38" s="129"/>
      <c r="J38" s="133"/>
      <c r="K38" s="131"/>
    </row>
    <row r="39" spans="9:15" s="15" customFormat="1" ht="20.25" customHeight="1" x14ac:dyDescent="0.25">
      <c r="I39" s="134"/>
      <c r="J39" s="133"/>
      <c r="K39" s="131"/>
      <c r="N39"/>
      <c r="O39"/>
    </row>
    <row r="40" spans="9:15" x14ac:dyDescent="0.25">
      <c r="I40" s="129"/>
      <c r="J40" s="133"/>
      <c r="K40" s="131"/>
    </row>
    <row r="41" spans="9:15" x14ac:dyDescent="0.25">
      <c r="I41" s="129"/>
      <c r="J41" s="133"/>
      <c r="K41" s="131"/>
    </row>
    <row r="42" spans="9:15" x14ac:dyDescent="0.25">
      <c r="I42" s="129"/>
      <c r="J42" s="133"/>
      <c r="K42" s="131"/>
    </row>
    <row r="43" spans="9:15" x14ac:dyDescent="0.25">
      <c r="I43" s="129"/>
      <c r="J43" s="133"/>
      <c r="K43" s="131"/>
    </row>
    <row r="44" spans="9:15" x14ac:dyDescent="0.25">
      <c r="I44" s="129"/>
      <c r="J44" s="133"/>
      <c r="K44" s="131"/>
    </row>
    <row r="45" spans="9:15" x14ac:dyDescent="0.25">
      <c r="I45" s="129"/>
      <c r="J45" s="133"/>
      <c r="K45" s="131"/>
    </row>
    <row r="46" spans="9:15" x14ac:dyDescent="0.25">
      <c r="I46" s="129"/>
      <c r="J46" s="133"/>
      <c r="K46" s="131"/>
    </row>
    <row r="47" spans="9:15" x14ac:dyDescent="0.25">
      <c r="I47" s="129"/>
      <c r="J47" s="133"/>
      <c r="K47" s="131"/>
    </row>
    <row r="48" spans="9:15" x14ac:dyDescent="0.25">
      <c r="I48" s="129"/>
      <c r="J48" s="133"/>
      <c r="K48" s="131"/>
    </row>
    <row r="49" spans="9:11" x14ac:dyDescent="0.25">
      <c r="I49" s="129"/>
      <c r="J49" s="133"/>
      <c r="K49" s="131"/>
    </row>
    <row r="50" spans="9:11" x14ac:dyDescent="0.25">
      <c r="I50" s="129"/>
      <c r="J50" s="133"/>
      <c r="K50" s="131"/>
    </row>
    <row r="51" spans="9:11" x14ac:dyDescent="0.25">
      <c r="I51" s="129"/>
      <c r="J51" s="133"/>
      <c r="K51" s="131"/>
    </row>
    <row r="52" spans="9:11" x14ac:dyDescent="0.25">
      <c r="I52" s="135"/>
      <c r="J52" s="135"/>
      <c r="K52" s="135"/>
    </row>
    <row r="53" spans="9:11" x14ac:dyDescent="0.25">
      <c r="I53" s="135"/>
      <c r="J53" s="135"/>
      <c r="K53" s="135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3:R8"/>
  <sheetViews>
    <sheetView zoomScale="85" zoomScaleNormal="85" workbookViewId="0">
      <selection activeCell="D25" sqref="D25"/>
    </sheetView>
  </sheetViews>
  <sheetFormatPr baseColWidth="10" defaultRowHeight="13.2" x14ac:dyDescent="0.25"/>
  <cols>
    <col min="1" max="1" width="21" bestFit="1" customWidth="1"/>
    <col min="3" max="3" width="15.21875" bestFit="1" customWidth="1"/>
    <col min="4" max="4" width="16" bestFit="1" customWidth="1"/>
    <col min="5" max="5" width="12.21875" bestFit="1" customWidth="1"/>
    <col min="6" max="6" width="14.88671875" bestFit="1" customWidth="1"/>
    <col min="7" max="7" width="12.44140625" bestFit="1" customWidth="1"/>
    <col min="8" max="8" width="13" bestFit="1" customWidth="1"/>
    <col min="9" max="10" width="12.21875" bestFit="1" customWidth="1"/>
    <col min="11" max="11" width="14" bestFit="1" customWidth="1"/>
    <col min="12" max="12" width="14.5546875" bestFit="1" customWidth="1"/>
    <col min="13" max="13" width="10" bestFit="1" customWidth="1"/>
    <col min="14" max="14" width="14" bestFit="1" customWidth="1"/>
    <col min="15" max="15" width="11.33203125" bestFit="1" customWidth="1"/>
    <col min="16" max="16" width="11.6640625" customWidth="1"/>
    <col min="17" max="17" width="11.33203125" bestFit="1" customWidth="1"/>
  </cols>
  <sheetData>
    <row r="3" spans="1:18" ht="15" thickBot="1" x14ac:dyDescent="0.35">
      <c r="A3" s="33" t="s">
        <v>39</v>
      </c>
      <c r="B3" s="33" t="s">
        <v>73</v>
      </c>
    </row>
    <row r="4" spans="1:18" ht="13.8" thickBot="1" x14ac:dyDescent="0.3">
      <c r="C4" s="121" t="s">
        <v>69</v>
      </c>
      <c r="D4" s="122"/>
      <c r="E4" s="122"/>
      <c r="F4" s="122"/>
      <c r="G4" s="122"/>
      <c r="H4" s="122"/>
      <c r="I4" s="122"/>
      <c r="J4" s="123"/>
      <c r="K4" s="121" t="s">
        <v>66</v>
      </c>
      <c r="L4" s="122"/>
      <c r="M4" s="122"/>
      <c r="N4" s="122"/>
      <c r="O4" s="122"/>
      <c r="P4" s="122"/>
      <c r="Q4" s="122"/>
      <c r="R4" s="123"/>
    </row>
    <row r="5" spans="1:18" ht="15" thickBot="1" x14ac:dyDescent="0.3">
      <c r="A5" s="34" t="s">
        <v>41</v>
      </c>
      <c r="B5" s="35" t="s">
        <v>42</v>
      </c>
      <c r="C5" s="128" t="s">
        <v>16</v>
      </c>
      <c r="D5" s="128" t="s">
        <v>60</v>
      </c>
      <c r="E5" s="128" t="s">
        <v>61</v>
      </c>
      <c r="F5" s="128" t="s">
        <v>62</v>
      </c>
      <c r="G5" s="128" t="s">
        <v>63</v>
      </c>
      <c r="H5" s="128" t="s">
        <v>64</v>
      </c>
      <c r="I5" s="128" t="s">
        <v>65</v>
      </c>
      <c r="J5" s="98" t="s">
        <v>12</v>
      </c>
      <c r="K5" s="99" t="s">
        <v>16</v>
      </c>
      <c r="L5" s="97" t="s">
        <v>60</v>
      </c>
      <c r="M5" s="97" t="s">
        <v>61</v>
      </c>
      <c r="N5" s="97" t="s">
        <v>62</v>
      </c>
      <c r="O5" s="97" t="s">
        <v>63</v>
      </c>
      <c r="P5" s="97" t="s">
        <v>64</v>
      </c>
      <c r="Q5" s="97" t="s">
        <v>65</v>
      </c>
      <c r="R5" s="98" t="s">
        <v>12</v>
      </c>
    </row>
    <row r="6" spans="1:18" x14ac:dyDescent="0.25">
      <c r="A6" s="36" t="s">
        <v>43</v>
      </c>
      <c r="B6" s="37" t="s">
        <v>44</v>
      </c>
      <c r="C6" s="124">
        <v>645716.24091536447</v>
      </c>
      <c r="D6" s="124">
        <v>616546.28861553478</v>
      </c>
      <c r="E6" s="124">
        <v>1316429.3249387997</v>
      </c>
      <c r="F6" s="124">
        <v>1716.1954752968052</v>
      </c>
      <c r="G6" s="124">
        <v>732.86173169211793</v>
      </c>
      <c r="H6" s="124">
        <v>503351.10590885283</v>
      </c>
      <c r="I6" s="124">
        <v>7188.4516602234307</v>
      </c>
      <c r="J6" s="126">
        <f>SUM(C6:I6)</f>
        <v>3091680.469245764</v>
      </c>
      <c r="K6" s="94">
        <v>0</v>
      </c>
      <c r="L6" s="94">
        <v>0</v>
      </c>
      <c r="M6" s="94">
        <v>0</v>
      </c>
      <c r="N6" s="94">
        <v>0</v>
      </c>
      <c r="O6" s="94">
        <v>0</v>
      </c>
      <c r="P6" s="94">
        <v>0</v>
      </c>
      <c r="Q6" s="94">
        <v>0</v>
      </c>
      <c r="R6" s="95">
        <f>SUM(K6:Q6)</f>
        <v>0</v>
      </c>
    </row>
    <row r="7" spans="1:18" x14ac:dyDescent="0.25">
      <c r="A7" s="36" t="s">
        <v>43</v>
      </c>
      <c r="B7" s="37" t="s">
        <v>45</v>
      </c>
      <c r="C7" s="125">
        <v>1064491.7748649681</v>
      </c>
      <c r="D7" s="125">
        <v>1007387.8613108302</v>
      </c>
      <c r="E7" s="125">
        <v>2121910.7825413733</v>
      </c>
      <c r="F7" s="125">
        <v>2212.0248448033262</v>
      </c>
      <c r="G7" s="125">
        <v>955.73113350981998</v>
      </c>
      <c r="H7" s="125">
        <v>827661.75498751586</v>
      </c>
      <c r="I7" s="125">
        <v>12191.110259928981</v>
      </c>
      <c r="J7" s="127">
        <f t="shared" ref="J7" si="0">SUM(C7:I7)</f>
        <v>5036811.0399429286</v>
      </c>
      <c r="K7" s="94">
        <v>0</v>
      </c>
      <c r="L7" s="94">
        <v>0</v>
      </c>
      <c r="M7" s="94">
        <v>0</v>
      </c>
      <c r="N7" s="94">
        <v>0</v>
      </c>
      <c r="O7" s="94">
        <v>0</v>
      </c>
      <c r="P7" s="94">
        <v>0</v>
      </c>
      <c r="Q7" s="94">
        <v>0</v>
      </c>
      <c r="R7" s="96">
        <f t="shared" ref="R7:R8" si="1">SUM(K7:Q7)</f>
        <v>0</v>
      </c>
    </row>
    <row r="8" spans="1:18" x14ac:dyDescent="0.25">
      <c r="A8" s="36" t="s">
        <v>43</v>
      </c>
      <c r="B8" s="37" t="s">
        <v>46</v>
      </c>
      <c r="C8" s="125">
        <v>540898.313941114</v>
      </c>
      <c r="D8" s="125">
        <v>512796.08076129569</v>
      </c>
      <c r="E8" s="125">
        <v>1104450.0391145877</v>
      </c>
      <c r="F8" s="125">
        <v>1141.2547165173273</v>
      </c>
      <c r="G8" s="125">
        <v>497.38069654948168</v>
      </c>
      <c r="H8" s="125">
        <v>412629.80163389357</v>
      </c>
      <c r="I8" s="125">
        <v>5918.9062922299845</v>
      </c>
      <c r="J8" s="127">
        <f>SUM(C8:I8)</f>
        <v>2578331.7771561877</v>
      </c>
      <c r="K8" s="94">
        <v>1357</v>
      </c>
      <c r="L8" s="94">
        <v>1287</v>
      </c>
      <c r="M8" s="94">
        <v>2771</v>
      </c>
      <c r="N8" s="94">
        <v>3</v>
      </c>
      <c r="O8" s="94">
        <v>1</v>
      </c>
      <c r="P8" s="94">
        <v>1035</v>
      </c>
      <c r="Q8" s="94">
        <v>15</v>
      </c>
      <c r="R8" s="96">
        <f t="shared" si="1"/>
        <v>6469</v>
      </c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27"/>
  <sheetViews>
    <sheetView tabSelected="1" zoomScaleNormal="100" workbookViewId="0">
      <selection activeCell="J34" sqref="J34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8.88671875" customWidth="1"/>
    <col min="11" max="11" width="20.33203125" customWidth="1"/>
    <col min="12" max="12" width="13" customWidth="1"/>
    <col min="14" max="14" width="14.88671875" bestFit="1" customWidth="1"/>
    <col min="16" max="16" width="22" bestFit="1" customWidth="1"/>
  </cols>
  <sheetData>
    <row r="2" spans="1:15" ht="13.8" x14ac:dyDescent="0.3">
      <c r="A2" s="18" t="s">
        <v>18</v>
      </c>
      <c r="B2" s="19"/>
      <c r="C2" s="19" t="s">
        <v>19</v>
      </c>
      <c r="D2" s="20" t="s">
        <v>20</v>
      </c>
      <c r="E2" s="21"/>
      <c r="F2" s="21"/>
      <c r="G2" s="21"/>
    </row>
    <row r="3" spans="1:15" ht="13.8" x14ac:dyDescent="0.3">
      <c r="A3" s="22" t="s">
        <v>21</v>
      </c>
      <c r="B3" s="21" t="s">
        <v>22</v>
      </c>
      <c r="C3" s="21">
        <v>79.322000000000003</v>
      </c>
      <c r="D3" s="23" t="s">
        <v>23</v>
      </c>
      <c r="E3" s="70"/>
      <c r="F3" s="21"/>
      <c r="G3" s="69"/>
    </row>
    <row r="4" spans="1:15" ht="13.8" x14ac:dyDescent="0.3">
      <c r="A4" s="24" t="s">
        <v>24</v>
      </c>
      <c r="B4" s="25" t="s">
        <v>25</v>
      </c>
      <c r="C4" s="25">
        <v>8.3592999999999993</v>
      </c>
      <c r="D4" s="26" t="s">
        <v>23</v>
      </c>
      <c r="E4" s="70"/>
      <c r="F4" s="21"/>
      <c r="G4" s="69"/>
      <c r="H4" s="92" t="s">
        <v>71</v>
      </c>
    </row>
    <row r="5" spans="1:15" ht="13.8" x14ac:dyDescent="0.3">
      <c r="A5" s="18" t="s">
        <v>18</v>
      </c>
      <c r="B5" s="19"/>
      <c r="C5" s="19" t="s">
        <v>19</v>
      </c>
      <c r="D5" s="20" t="s">
        <v>20</v>
      </c>
      <c r="E5" s="21"/>
      <c r="F5" s="21"/>
      <c r="G5" s="18" t="s">
        <v>57</v>
      </c>
      <c r="H5" s="86">
        <v>3.0096147303192753</v>
      </c>
    </row>
    <row r="6" spans="1:15" ht="13.8" x14ac:dyDescent="0.3">
      <c r="A6" s="22" t="s">
        <v>26</v>
      </c>
      <c r="B6" s="21"/>
      <c r="C6" s="21">
        <v>801.49</v>
      </c>
      <c r="D6" s="23" t="s">
        <v>70</v>
      </c>
      <c r="E6" s="21"/>
      <c r="F6" s="21"/>
      <c r="G6" s="65" t="s">
        <v>53</v>
      </c>
      <c r="H6" s="87">
        <v>0.90529547693185475</v>
      </c>
    </row>
    <row r="7" spans="1:15" ht="13.8" x14ac:dyDescent="0.3">
      <c r="A7" s="22" t="s">
        <v>27</v>
      </c>
      <c r="B7" s="21"/>
      <c r="C7" s="89">
        <v>257.74599999999998</v>
      </c>
      <c r="D7" s="23"/>
      <c r="E7" s="21"/>
      <c r="F7" s="21"/>
      <c r="G7" s="66" t="s">
        <v>54</v>
      </c>
      <c r="H7" s="88">
        <v>0.76950071006485832</v>
      </c>
      <c r="K7" s="54"/>
    </row>
    <row r="8" spans="1:15" ht="13.8" x14ac:dyDescent="0.3">
      <c r="A8" s="22" t="s">
        <v>28</v>
      </c>
      <c r="B8" s="21"/>
      <c r="C8" s="27">
        <v>237.09</v>
      </c>
      <c r="D8" s="28" t="s">
        <v>29</v>
      </c>
      <c r="E8" s="21"/>
      <c r="F8" s="21"/>
      <c r="G8" s="21"/>
      <c r="O8" s="54"/>
    </row>
    <row r="9" spans="1:15" ht="13.8" x14ac:dyDescent="0.3">
      <c r="A9" s="24" t="s">
        <v>30</v>
      </c>
      <c r="B9" s="25"/>
      <c r="C9" s="29"/>
      <c r="D9" s="30" t="s">
        <v>72</v>
      </c>
      <c r="E9" s="21"/>
      <c r="F9" s="21"/>
      <c r="G9" s="21"/>
      <c r="O9" s="54"/>
    </row>
    <row r="10" spans="1:15" ht="13.8" x14ac:dyDescent="0.3">
      <c r="A10" s="21"/>
      <c r="B10" s="21"/>
      <c r="C10" s="21"/>
      <c r="D10" s="21"/>
      <c r="E10" s="21"/>
      <c r="F10" s="21"/>
      <c r="G10" s="21"/>
    </row>
    <row r="11" spans="1:15" ht="13.8" x14ac:dyDescent="0.3">
      <c r="A11" s="42"/>
      <c r="B11" s="42"/>
      <c r="C11" s="43"/>
      <c r="D11" s="42"/>
      <c r="E11" s="42"/>
      <c r="F11" s="42"/>
      <c r="G11" s="42"/>
      <c r="H11" s="44"/>
      <c r="I11" s="63"/>
      <c r="J11" s="44"/>
    </row>
    <row r="12" spans="1:15" ht="27.6" x14ac:dyDescent="0.25">
      <c r="A12" s="45" t="s">
        <v>48</v>
      </c>
      <c r="B12" s="45" t="s">
        <v>31</v>
      </c>
      <c r="C12" s="45" t="s">
        <v>49</v>
      </c>
      <c r="D12" s="45" t="s">
        <v>32</v>
      </c>
      <c r="E12" s="45" t="s">
        <v>52</v>
      </c>
      <c r="F12" s="45" t="s">
        <v>33</v>
      </c>
      <c r="G12" s="45" t="s">
        <v>34</v>
      </c>
      <c r="H12" s="45" t="s">
        <v>35</v>
      </c>
      <c r="I12" s="45" t="s">
        <v>36</v>
      </c>
      <c r="J12" s="71" t="s">
        <v>36</v>
      </c>
      <c r="K12" s="72" t="s">
        <v>50</v>
      </c>
    </row>
    <row r="13" spans="1:15" ht="13.8" x14ac:dyDescent="0.3">
      <c r="A13" s="21" t="s">
        <v>67</v>
      </c>
      <c r="B13" s="21" t="s">
        <v>16</v>
      </c>
      <c r="C13" s="46"/>
      <c r="D13" s="47">
        <v>0.97529999999999994</v>
      </c>
      <c r="E13" s="47">
        <v>0.99260000000000004</v>
      </c>
      <c r="F13" s="48">
        <f>($C$3*$C$7/$C$8-$H$5)*D13</f>
        <v>81.16754651311976</v>
      </c>
      <c r="G13" s="48">
        <f>$C$4*$C$7/$C$8*E13</f>
        <v>9.0203394254514322</v>
      </c>
      <c r="H13" s="48">
        <f>ROUND(F13*$C$6/1000,3)</f>
        <v>65.055000000000007</v>
      </c>
      <c r="I13" s="64">
        <f>G13*$C$6</f>
        <v>7229.7118461050686</v>
      </c>
      <c r="J13" s="105">
        <f>ROUND(I13*$H$7,4)</f>
        <v>5563.2683999999999</v>
      </c>
      <c r="K13" s="49">
        <f>ROUND(H13*$H$6,3)</f>
        <v>58.893999999999998</v>
      </c>
    </row>
    <row r="14" spans="1:15" ht="13.8" x14ac:dyDescent="0.3">
      <c r="A14" s="21" t="s">
        <v>67</v>
      </c>
      <c r="B14" s="21" t="s">
        <v>60</v>
      </c>
      <c r="C14" s="46"/>
      <c r="D14" s="47">
        <v>0.99529999999999996</v>
      </c>
      <c r="E14" s="47">
        <v>1.0105</v>
      </c>
      <c r="F14" s="48">
        <f t="shared" ref="F14:F19" si="0">($C$3*$C$7/$C$8-$H$5)*D14</f>
        <v>82.832009683695375</v>
      </c>
      <c r="G14" s="48">
        <f t="shared" ref="G14:G15" si="1">$C$4*$C$7/$C$8*E14</f>
        <v>9.1830072430169967</v>
      </c>
      <c r="H14" s="48">
        <f t="shared" ref="H14:H19" si="2">ROUND(F14*$C$6/1000,3)</f>
        <v>66.388999999999996</v>
      </c>
      <c r="I14" s="64">
        <f>G14*$C$6</f>
        <v>7360.0884752056927</v>
      </c>
      <c r="J14" s="105">
        <f t="shared" ref="J14:J19" si="3">ROUND(I14*$H$7,4)</f>
        <v>5663.5933000000005</v>
      </c>
      <c r="K14" s="49">
        <f t="shared" ref="K14:K19" si="4">ROUND(H14*$H$6,3)</f>
        <v>60.101999999999997</v>
      </c>
    </row>
    <row r="15" spans="1:15" ht="13.8" x14ac:dyDescent="0.3">
      <c r="A15" s="21" t="s">
        <v>67</v>
      </c>
      <c r="B15" s="21" t="s">
        <v>61</v>
      </c>
      <c r="C15" s="46"/>
      <c r="D15" s="47">
        <v>0.98929999999999996</v>
      </c>
      <c r="E15" s="47">
        <v>1.0106999999999999</v>
      </c>
      <c r="F15" s="48">
        <f t="shared" si="0"/>
        <v>82.332670732522686</v>
      </c>
      <c r="G15" s="48">
        <f t="shared" si="1"/>
        <v>9.1848247605316953</v>
      </c>
      <c r="H15" s="48">
        <f t="shared" si="2"/>
        <v>65.989000000000004</v>
      </c>
      <c r="I15" s="64">
        <f>G15*$C$6</f>
        <v>7361.5451973185482</v>
      </c>
      <c r="J15" s="105">
        <f t="shared" si="3"/>
        <v>5664.7142999999996</v>
      </c>
      <c r="K15" s="49">
        <f t="shared" si="4"/>
        <v>59.74</v>
      </c>
    </row>
    <row r="16" spans="1:15" ht="13.8" x14ac:dyDescent="0.3">
      <c r="A16" s="21" t="s">
        <v>67</v>
      </c>
      <c r="B16" s="21" t="s">
        <v>62</v>
      </c>
      <c r="C16" s="46"/>
      <c r="D16" s="47">
        <v>1.0470999999999999</v>
      </c>
      <c r="E16" s="47">
        <v>1.0258</v>
      </c>
      <c r="F16" s="48">
        <f t="shared" si="0"/>
        <v>87.142969295486211</v>
      </c>
      <c r="G16" s="48">
        <f>$C$4*$C$7/$C$8*E16</f>
        <v>9.3220473328914757</v>
      </c>
      <c r="H16" s="48">
        <f t="shared" si="2"/>
        <v>69.843999999999994</v>
      </c>
      <c r="I16" s="64">
        <f>G16*$C$6</f>
        <v>7471.5277168391885</v>
      </c>
      <c r="J16" s="105">
        <f t="shared" si="3"/>
        <v>5749.3459000000003</v>
      </c>
      <c r="K16" s="49">
        <f t="shared" si="4"/>
        <v>63.228999999999999</v>
      </c>
    </row>
    <row r="17" spans="1:11" ht="13.8" x14ac:dyDescent="0.3">
      <c r="A17" s="21" t="s">
        <v>67</v>
      </c>
      <c r="B17" t="s">
        <v>63</v>
      </c>
      <c r="D17" s="47">
        <v>0.94550000000000001</v>
      </c>
      <c r="E17" s="47">
        <v>0.98629999999999995</v>
      </c>
      <c r="F17" s="48">
        <f t="shared" si="0"/>
        <v>78.687496388962103</v>
      </c>
      <c r="G17" s="48">
        <f t="shared" ref="G17:G19" si="5">$C$4*$C$7/$C$8*E17</f>
        <v>8.9630876237384101</v>
      </c>
      <c r="H17" s="48">
        <f t="shared" si="2"/>
        <v>63.067</v>
      </c>
      <c r="I17" s="64">
        <f t="shared" ref="I17:I19" si="6">G17*$C$6</f>
        <v>7183.8250995500985</v>
      </c>
      <c r="J17" s="105">
        <f t="shared" si="3"/>
        <v>5527.9584999999997</v>
      </c>
      <c r="K17" s="49">
        <f t="shared" si="4"/>
        <v>57.094000000000001</v>
      </c>
    </row>
    <row r="18" spans="1:11" ht="13.8" x14ac:dyDescent="0.3">
      <c r="A18" s="21" t="s">
        <v>67</v>
      </c>
      <c r="B18" t="s">
        <v>64</v>
      </c>
      <c r="D18" s="47">
        <v>1</v>
      </c>
      <c r="E18" s="47">
        <v>1</v>
      </c>
      <c r="F18" s="48">
        <f t="shared" si="0"/>
        <v>83.223158528780644</v>
      </c>
      <c r="G18" s="48">
        <f t="shared" si="5"/>
        <v>9.0875875734952967</v>
      </c>
      <c r="H18" s="48">
        <f t="shared" si="2"/>
        <v>66.703000000000003</v>
      </c>
      <c r="I18" s="64">
        <f t="shared" si="6"/>
        <v>7283.6105642807452</v>
      </c>
      <c r="J18" s="105">
        <f t="shared" si="3"/>
        <v>5604.7434999999996</v>
      </c>
      <c r="K18" s="49">
        <f t="shared" si="4"/>
        <v>60.386000000000003</v>
      </c>
    </row>
    <row r="19" spans="1:11" ht="13.8" x14ac:dyDescent="0.3">
      <c r="A19" s="21" t="s">
        <v>67</v>
      </c>
      <c r="B19" t="s">
        <v>65</v>
      </c>
      <c r="D19" s="47">
        <v>1.0154000000000001</v>
      </c>
      <c r="E19" s="47">
        <v>1.0021</v>
      </c>
      <c r="F19" s="48">
        <f t="shared" si="0"/>
        <v>84.50479517012387</v>
      </c>
      <c r="G19" s="48">
        <f t="shared" si="5"/>
        <v>9.1066715073996374</v>
      </c>
      <c r="H19" s="48">
        <f t="shared" si="2"/>
        <v>67.73</v>
      </c>
      <c r="I19" s="64">
        <f t="shared" si="6"/>
        <v>7298.9061464657352</v>
      </c>
      <c r="J19" s="105">
        <f t="shared" si="3"/>
        <v>5616.5135</v>
      </c>
      <c r="K19" s="49">
        <f t="shared" si="4"/>
        <v>61.316000000000003</v>
      </c>
    </row>
    <row r="20" spans="1:11" x14ac:dyDescent="0.25">
      <c r="J20" s="106"/>
    </row>
    <row r="22" spans="1:11" x14ac:dyDescent="0.25">
      <c r="E22" s="85"/>
    </row>
    <row r="24" spans="1:11" ht="13.8" x14ac:dyDescent="0.3">
      <c r="I24" s="21"/>
    </row>
    <row r="25" spans="1:11" ht="13.8" x14ac:dyDescent="0.3">
      <c r="I25" s="21"/>
    </row>
    <row r="26" spans="1:11" ht="13.8" x14ac:dyDescent="0.3">
      <c r="I26" s="21"/>
    </row>
    <row r="27" spans="1:11" ht="13.8" x14ac:dyDescent="0.3">
      <c r="I27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 DX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2021-12-09T21:40:45Z</dcterms:modified>
</cp:coreProperties>
</file>