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Propuestas\"/>
    </mc:Choice>
  </mc:AlternateContent>
  <xr:revisionPtr revIDLastSave="0" documentId="14_{A9DEC95D-7470-46F1-B7C2-2679A7EA8E82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2" l="1"/>
  <c r="G13" i="2" l="1"/>
  <c r="I13" i="2" s="1"/>
  <c r="J13" i="2" s="1"/>
  <c r="F13" i="2"/>
  <c r="H13" i="2" s="1"/>
  <c r="K13" i="2" s="1"/>
  <c r="N6" i="1" l="1"/>
  <c r="N5" i="1"/>
  <c r="F19" i="2" l="1"/>
  <c r="F17" i="2"/>
  <c r="F16" i="2"/>
  <c r="F15" i="2"/>
  <c r="F14" i="2"/>
  <c r="R6" i="3" l="1"/>
  <c r="J8" i="3"/>
  <c r="G14" i="2" l="1"/>
  <c r="G15" i="2"/>
  <c r="G16" i="2"/>
  <c r="G17" i="2"/>
  <c r="G18" i="2"/>
  <c r="G19" i="2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5" i="1"/>
  <c r="G24" i="1"/>
  <c r="G23" i="1"/>
  <c r="G22" i="1"/>
  <c r="G21" i="1"/>
  <c r="G20" i="1"/>
  <c r="G19" i="1"/>
  <c r="H14" i="2"/>
  <c r="K14" i="2" s="1"/>
  <c r="H15" i="2"/>
  <c r="K15" i="2" s="1"/>
  <c r="H16" i="2"/>
  <c r="K16" i="2" s="1"/>
  <c r="I17" i="2"/>
  <c r="J17" i="2" s="1"/>
  <c r="I18" i="2"/>
  <c r="J18" i="2" s="1"/>
  <c r="I19" i="2"/>
  <c r="J19" i="2" s="1"/>
  <c r="R8" i="3"/>
  <c r="R7" i="3"/>
  <c r="J7" i="3"/>
  <c r="J6" i="3"/>
  <c r="D23" i="1" l="1"/>
  <c r="J23" i="1" s="1"/>
  <c r="D18" i="1"/>
  <c r="J18" i="1" s="1"/>
  <c r="D24" i="1"/>
  <c r="J24" i="1" s="1"/>
  <c r="H19" i="2"/>
  <c r="K19" i="2" s="1"/>
  <c r="H18" i="2"/>
  <c r="K18" i="2" s="1"/>
  <c r="H17" i="2"/>
  <c r="K17" i="2" s="1"/>
  <c r="D10" i="1"/>
  <c r="J10" i="1" s="1"/>
  <c r="D16" i="1"/>
  <c r="J16" i="1" s="1"/>
  <c r="D9" i="1"/>
  <c r="J9" i="1" s="1"/>
  <c r="D17" i="1" l="1"/>
  <c r="J17" i="1" s="1"/>
  <c r="D25" i="1"/>
  <c r="J25" i="1" s="1"/>
  <c r="D11" i="1"/>
  <c r="J11" i="1" s="1"/>
  <c r="E17" i="1"/>
  <c r="I17" i="1" s="1"/>
  <c r="E10" i="1"/>
  <c r="I10" i="1" s="1"/>
  <c r="E24" i="1"/>
  <c r="I24" i="1" s="1"/>
  <c r="E11" i="1"/>
  <c r="I11" i="1" s="1"/>
  <c r="E18" i="1"/>
  <c r="I18" i="1" s="1"/>
  <c r="E25" i="1"/>
  <c r="I25" i="1" s="1"/>
  <c r="E23" i="1"/>
  <c r="I23" i="1" s="1"/>
  <c r="E9" i="1"/>
  <c r="I9" i="1" s="1"/>
  <c r="E16" i="1"/>
  <c r="I16" i="1" s="1"/>
  <c r="K26" i="1"/>
  <c r="O7" i="1" s="1"/>
  <c r="E5" i="1" l="1"/>
  <c r="I5" i="1" s="1"/>
  <c r="E12" i="1"/>
  <c r="I12" i="1" s="1"/>
  <c r="E19" i="1"/>
  <c r="I19" i="1" s="1"/>
  <c r="I16" i="2"/>
  <c r="J16" i="2" s="1"/>
  <c r="D15" i="1" l="1"/>
  <c r="J15" i="1" s="1"/>
  <c r="D22" i="1"/>
  <c r="J22" i="1" s="1"/>
  <c r="D8" i="1"/>
  <c r="J8" i="1" s="1"/>
  <c r="E8" i="1"/>
  <c r="I8" i="1" s="1"/>
  <c r="E15" i="1"/>
  <c r="I15" i="1" s="1"/>
  <c r="E22" i="1"/>
  <c r="I22" i="1" s="1"/>
  <c r="E14" i="1" l="1"/>
  <c r="I14" i="1" s="1"/>
  <c r="E7" i="1"/>
  <c r="I7" i="1" s="1"/>
  <c r="E21" i="1"/>
  <c r="I21" i="1" s="1"/>
  <c r="E13" i="1"/>
  <c r="I13" i="1" s="1"/>
  <c r="E20" i="1"/>
  <c r="I20" i="1" s="1"/>
  <c r="E6" i="1"/>
  <c r="I6" i="1" s="1"/>
  <c r="I14" i="2"/>
  <c r="J14" i="2" s="1"/>
  <c r="I15" i="2"/>
  <c r="J15" i="2" s="1"/>
  <c r="D7" i="1" l="1"/>
  <c r="J7" i="1" s="1"/>
  <c r="D14" i="1"/>
  <c r="J14" i="1" s="1"/>
  <c r="D21" i="1"/>
  <c r="J21" i="1" s="1"/>
  <c r="D13" i="1"/>
  <c r="J13" i="1" s="1"/>
  <c r="D20" i="1"/>
  <c r="J20" i="1" s="1"/>
  <c r="D6" i="1"/>
  <c r="J6" i="1" s="1"/>
  <c r="D19" i="1" l="1"/>
  <c r="J19" i="1" s="1"/>
  <c r="D5" i="1"/>
  <c r="J5" i="1" s="1"/>
  <c r="D12" i="1"/>
  <c r="J12" i="1" s="1"/>
  <c r="G26" i="1"/>
  <c r="H26" i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<sst xmlns="http://schemas.openxmlformats.org/spreadsheetml/2006/main" count="172" uniqueCount="76">
  <si>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</si>
  <si>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</si>
  <si>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</si>
  <si>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</si>
  <si>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</si>
  <si>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</si>
  <si>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</si>
  <si>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</si>
  <si>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</si>
  <si>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</si>
  <si>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</si>
  <si>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</si>
  <si>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</si>
  <si>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</si>
  <si>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</si>
  <si>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</si>
  <si>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</si>
  <si>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</si>
  <si>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</si>
  <si>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</si>
  <si>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</si>
  <si>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</si>
  <si>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</si>
  <si>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</si>
  <si>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</si>
  <si>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</si>
  <si>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</si>
  <si>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</si>
  <si>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</si>
  <si>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</si>
  <si>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</si>
  <si>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</si>
  <si>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</si>
  <si>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</si>
  <si>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</si>
  <si>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</si>
  <si>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</si>
  <si>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</si>
  <si>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</si>
  <si>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</si>
  <si>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</si>
  <si>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</si>
  <si>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</si>
  <si>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</si>
  <si>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</si>
  <si>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</si>
  <si>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</si>
  <si>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</si>
  <si>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</si>
  <si>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</si>
  <si>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</si>
  <si>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</si>
  <si>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</si>
  <si>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</si>
  <si>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</si>
  <si>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</si>
  <si>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</si>
  <si>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</si>
  <si>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</si>
  <si>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</si>
  <si>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</si>
  <si>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>Facturación con Factor de Ajuste</t>
  </si>
  <si>
    <t>Energía kWh</t>
  </si>
  <si>
    <t xml:space="preserve"> ITD Enero 2021</t>
  </si>
  <si>
    <t>Enero</t>
  </si>
  <si>
    <t>ITD Julio 2021</t>
  </si>
  <si>
    <t>2015/01</t>
  </si>
  <si>
    <t>PNP S2/21 (Abr21 -Sep21)</t>
  </si>
  <si>
    <t>(Nov-15 - Abr-16)</t>
  </si>
  <si>
    <t>ITD PNCP S2/21</t>
  </si>
  <si>
    <t>3-A</t>
  </si>
  <si>
    <t>3-B</t>
  </si>
  <si>
    <t>3-C</t>
  </si>
  <si>
    <t>BS3A</t>
  </si>
  <si>
    <t>BS3B</t>
  </si>
  <si>
    <t>BS3C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</si>
</sst>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_-* #,##0.00\ _€_-;\-* #,##0.00\ _€_-;_-* &quot;-&quot;??\ _€_-;_-@_-"/>
    <numFmt numFmtId="170" formatCode="_-* #,##0\ _€_-;\-* #,##0\ _€_-;_-* &quot;-&quot;??\ _€_-;_-@_-"/>
    <numFmt numFmtId="171" formatCode="_-* #,##0.00_-;\-* #,##0.00_-;_-* &quot;-&quot;??_-;_-@_-"/>
  </numFmts>
  <fonts count="17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169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5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7" xfId="0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168" fontId="5" fillId="0" borderId="0" xfId="0" applyNumberFormat="1" applyFont="1"/>
    <xf numFmtId="164" fontId="5" fillId="0" borderId="0" xfId="0" applyNumberFormat="1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6" fillId="0" borderId="0" xfId="0" applyNumberFormat="1" applyFont="1"/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2" fillId="10" borderId="19" xfId="0" applyNumberFormat="1" applyFont="1" applyFill="1" applyBorder="1" applyAlignment="1">
      <alignment horizontal="center" vertical="center"/>
    </xf>
    <xf numFmtId="3" fontId="2" fillId="10" borderId="16" xfId="0" applyNumberFormat="1" applyFont="1" applyFill="1" applyBorder="1" applyAlignment="1">
      <alignment horizontal="center" vertical="center"/>
    </xf>
    <xf numFmtId="0" fontId="9" fillId="12" borderId="23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/>
    </xf>
    <xf numFmtId="0" fontId="9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7" fontId="5" fillId="0" borderId="10" xfId="0" applyNumberFormat="1" applyFont="1" applyBorder="1" applyAlignment="1">
      <alignment horizontal="center"/>
    </xf>
    <xf numFmtId="167" fontId="0" fillId="0" borderId="0" xfId="0" applyNumberFormat="1"/>
    <xf numFmtId="0" fontId="0" fillId="0" borderId="1" xfId="0" applyFill="1" applyBorder="1"/>
    <xf numFmtId="167" fontId="0" fillId="0" borderId="4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3" fontId="2" fillId="10" borderId="3" xfId="0" applyNumberFormat="1" applyFont="1" applyFill="1" applyBorder="1" applyAlignment="1">
      <alignment horizontal="center" vertical="center"/>
    </xf>
    <xf numFmtId="3" fontId="2" fillId="10" borderId="8" xfId="0" applyNumberFormat="1" applyFont="1" applyFill="1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70" fontId="0" fillId="0" borderId="0" xfId="0" applyNumberFormat="1" applyBorder="1"/>
    <xf numFmtId="4" fontId="13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0" fillId="0" borderId="21" xfId="0" applyBorder="1"/>
    <xf numFmtId="165" fontId="0" fillId="0" borderId="22" xfId="0" applyNumberFormat="1" applyBorder="1"/>
    <xf numFmtId="165" fontId="0" fillId="0" borderId="19" xfId="0" applyNumberFormat="1" applyBorder="1"/>
    <xf numFmtId="0" fontId="16" fillId="0" borderId="16" xfId="0" applyFont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Fill="1"/>
    <xf numFmtId="170" fontId="0" fillId="0" borderId="16" xfId="1" applyNumberFormat="1" applyFont="1" applyFill="1" applyBorder="1" applyAlignment="1"/>
    <xf numFmtId="170" fontId="0" fillId="0" borderId="26" xfId="1" applyNumberFormat="1" applyFont="1" applyFill="1" applyBorder="1" applyAlignment="1"/>
    <xf numFmtId="17" fontId="5" fillId="0" borderId="1" xfId="0" applyNumberFormat="1" applyFont="1" applyBorder="1" applyAlignment="1">
      <alignment horizontal="center"/>
    </xf>
    <xf numFmtId="3" fontId="0" fillId="0" borderId="16" xfId="0" applyNumberFormat="1" applyFill="1" applyBorder="1" applyAlignment="1">
      <alignment horizontal="center" vertical="center"/>
    </xf>
    <xf numFmtId="170" fontId="0" fillId="0" borderId="27" xfId="2" applyNumberFormat="1" applyFont="1" applyFill="1" applyBorder="1"/>
    <xf numFmtId="170" fontId="0" fillId="0" borderId="28" xfId="2" applyNumberFormat="1" applyFont="1" applyFill="1" applyBorder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3"/>
  <sheetViews>
    <sheetView tabSelected="1" zoomScale="90" zoomScaleNormal="90" workbookViewId="0">
      <selection activeCell="H32" sqref="H3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7"/>
      <c r="D2" s="68"/>
      <c r="E2" s="55"/>
      <c r="F2" s="52"/>
      <c r="G2" s="52"/>
      <c r="H2" s="53"/>
      <c r="I2" s="132" t="s">
        <v>14</v>
      </c>
      <c r="J2" s="133"/>
      <c r="K2" s="133"/>
      <c r="L2" s="134"/>
    </row>
    <row r="3" spans="1:15" x14ac:dyDescent="0.25">
      <c r="A3" s="135" t="s">
        <v>12</v>
      </c>
      <c r="B3" s="138" t="s">
        <v>0</v>
      </c>
      <c r="C3" s="140" t="s">
        <v>1</v>
      </c>
      <c r="D3" s="58" t="s">
        <v>2</v>
      </c>
      <c r="E3" s="56" t="s">
        <v>3</v>
      </c>
      <c r="F3" s="31" t="s">
        <v>36</v>
      </c>
      <c r="G3" s="1" t="s">
        <v>4</v>
      </c>
      <c r="H3" s="2" t="s">
        <v>5</v>
      </c>
      <c r="I3" s="51" t="s">
        <v>34</v>
      </c>
      <c r="J3" s="50" t="s">
        <v>4</v>
      </c>
      <c r="K3" s="50" t="s">
        <v>33</v>
      </c>
      <c r="L3" s="39" t="s">
        <v>36</v>
      </c>
      <c r="N3" s="137" t="s">
        <v>61</v>
      </c>
      <c r="O3" s="137"/>
    </row>
    <row r="4" spans="1:15" ht="14.4" x14ac:dyDescent="0.3">
      <c r="A4" s="136"/>
      <c r="B4" s="139"/>
      <c r="C4" s="141"/>
      <c r="D4" s="59" t="s">
        <v>6</v>
      </c>
      <c r="E4" s="57" t="s">
        <v>7</v>
      </c>
      <c r="F4" s="32" t="s">
        <v>40</v>
      </c>
      <c r="G4" s="3" t="s">
        <v>44</v>
      </c>
      <c r="H4" s="4" t="s">
        <v>8</v>
      </c>
      <c r="I4" s="62" t="s">
        <v>11</v>
      </c>
      <c r="J4" s="60" t="s">
        <v>11</v>
      </c>
      <c r="K4" s="60" t="s">
        <v>11</v>
      </c>
      <c r="L4" s="61" t="s">
        <v>11</v>
      </c>
      <c r="N4" s="10" t="s">
        <v>51</v>
      </c>
      <c r="O4" s="10" t="s">
        <v>52</v>
      </c>
    </row>
    <row r="5" spans="1:15" x14ac:dyDescent="0.25">
      <c r="A5" t="s">
        <v>52</v>
      </c>
      <c r="B5" s="5" t="s">
        <v>73</v>
      </c>
      <c r="C5" s="6" t="s">
        <v>13</v>
      </c>
      <c r="D5" s="107">
        <f>ROUND(VLOOKUP($C5,Px!$B$13:$K$19,9,0),4)</f>
        <v>6958.0401000000002</v>
      </c>
      <c r="E5" s="101">
        <f>VLOOKUP(C5,Px!$B$13:$K$19,10,0)</f>
        <v>42.070999999999998</v>
      </c>
      <c r="F5" s="40"/>
      <c r="G5" s="7"/>
      <c r="H5" s="80">
        <f>ROUND('ENEL DX'!$C$6,0)</f>
        <v>90263</v>
      </c>
      <c r="I5" s="78">
        <f>ROUND(H5*E5,0)</f>
        <v>3797455</v>
      </c>
      <c r="J5" s="79">
        <f>ROUND(G5*D5,0)</f>
        <v>0</v>
      </c>
      <c r="K5" s="82">
        <v>467</v>
      </c>
      <c r="L5" s="80"/>
      <c r="N5" s="11" t="str">
        <f>"Active Energy: "&amp;TEXT(H26," #,###,###")&amp;" kWh"</f>
        <v>Active Energy:  1,350,826 kWh</v>
      </c>
      <c r="O5" s="12">
        <f>I26</f>
        <v>54240117</v>
      </c>
    </row>
    <row r="6" spans="1:15" x14ac:dyDescent="0.25">
      <c r="A6" t="s">
        <v>52</v>
      </c>
      <c r="B6" t="s">
        <v>73</v>
      </c>
      <c r="C6" s="8" t="s">
        <v>53</v>
      </c>
      <c r="D6" s="108">
        <f>ROUND(VLOOKUP($C6,Px!$B$13:$K$19,9,0),4)</f>
        <v>7101.2731999999996</v>
      </c>
      <c r="E6" s="102">
        <f>VLOOKUP(C6,Px!$B$13:$K$19,10,0)</f>
        <v>39.661000000000001</v>
      </c>
      <c r="F6" s="41"/>
      <c r="G6" s="9"/>
      <c r="H6" s="83">
        <f>ROUND('ENEL DX'!$D$6,0)</f>
        <v>131764</v>
      </c>
      <c r="I6" s="81">
        <f t="shared" ref="I6:I25" si="0">ROUND(H6*E6,0)</f>
        <v>5225892</v>
      </c>
      <c r="J6" s="82">
        <f t="shared" ref="J6:J25" si="1">ROUND(G6*D6,0)</f>
        <v>0</v>
      </c>
      <c r="K6" s="82">
        <v>0</v>
      </c>
      <c r="L6" s="83"/>
      <c r="N6" s="11" t="str">
        <f>"Capacity: "&amp;TEXT(G26,"#,###")&amp;" kW"</f>
        <v>Capacity: 3,161 kW</v>
      </c>
      <c r="O6" s="12">
        <f>J26</f>
        <v>22318516</v>
      </c>
    </row>
    <row r="7" spans="1:15" x14ac:dyDescent="0.25">
      <c r="A7" t="s">
        <v>52</v>
      </c>
      <c r="B7" t="s">
        <v>73</v>
      </c>
      <c r="C7" s="106" t="s">
        <v>54</v>
      </c>
      <c r="D7" s="109">
        <f>ROUND(VLOOKUP($C7,Px!$B$13:$K$19,9,0),4)</f>
        <v>7111.1028999999999</v>
      </c>
      <c r="E7" s="102">
        <f>VLOOKUP(C7,Px!$B$13:$K$19,10,0)</f>
        <v>39.673000000000002</v>
      </c>
      <c r="F7" s="41"/>
      <c r="G7" s="9"/>
      <c r="H7" s="83">
        <f>ROUND('ENEL DX'!$E$6,0)</f>
        <v>121790</v>
      </c>
      <c r="I7" s="81">
        <f t="shared" si="0"/>
        <v>4831775</v>
      </c>
      <c r="J7" s="82">
        <f t="shared" si="1"/>
        <v>0</v>
      </c>
      <c r="K7" s="82">
        <v>0</v>
      </c>
      <c r="L7" s="83"/>
      <c r="N7" s="11" t="s">
        <v>10</v>
      </c>
      <c r="O7" s="12">
        <f>K26</f>
        <v>467</v>
      </c>
    </row>
    <row r="8" spans="1:15" x14ac:dyDescent="0.25">
      <c r="A8" t="s">
        <v>52</v>
      </c>
      <c r="B8" t="s">
        <v>73</v>
      </c>
      <c r="C8" s="106" t="s">
        <v>55</v>
      </c>
      <c r="D8" s="109">
        <f>ROUND(VLOOKUP($C8,Px!$B$13:$K$19,9,0),4)</f>
        <v>7050.0182000000004</v>
      </c>
      <c r="E8" s="102">
        <f>VLOOKUP(C8,Px!$B$13:$K$19,10,0)</f>
        <v>40.488</v>
      </c>
      <c r="F8" s="41"/>
      <c r="G8" s="9"/>
      <c r="H8" s="83">
        <f>ROUND('ENEL DX'!$F$6,0)</f>
        <v>144</v>
      </c>
      <c r="I8" s="81">
        <f t="shared" si="0"/>
        <v>5830</v>
      </c>
      <c r="J8" s="82">
        <f t="shared" si="1"/>
        <v>0</v>
      </c>
      <c r="K8" s="82">
        <v>0</v>
      </c>
      <c r="L8" s="83"/>
      <c r="N8" s="11" t="s">
        <v>36</v>
      </c>
      <c r="O8" s="12">
        <f>L26</f>
        <v>0</v>
      </c>
    </row>
    <row r="9" spans="1:15" x14ac:dyDescent="0.25">
      <c r="A9" t="s">
        <v>52</v>
      </c>
      <c r="B9" t="s">
        <v>73</v>
      </c>
      <c r="C9" s="106" t="s">
        <v>56</v>
      </c>
      <c r="D9" s="109">
        <f>ROUND(VLOOKUP($C9,Px!$B$13:$K$19,9,0),4)</f>
        <v>6906.0829999999996</v>
      </c>
      <c r="E9" s="102">
        <f>VLOOKUP(C9,Px!$B$13:$K$19,10,0)</f>
        <v>42.145000000000003</v>
      </c>
      <c r="F9" s="41"/>
      <c r="G9" s="9"/>
      <c r="H9" s="83">
        <f>ROUND('ENEL DX'!$G$6,0)</f>
        <v>46</v>
      </c>
      <c r="I9" s="81">
        <f t="shared" si="0"/>
        <v>1939</v>
      </c>
      <c r="J9" s="82">
        <f t="shared" si="1"/>
        <v>0</v>
      </c>
      <c r="K9" s="82">
        <v>0</v>
      </c>
      <c r="L9" s="83"/>
      <c r="N9" s="13" t="s">
        <v>9</v>
      </c>
      <c r="O9" s="14">
        <f>SUM(O5:O8)</f>
        <v>76559100</v>
      </c>
    </row>
    <row r="10" spans="1:15" x14ac:dyDescent="0.25">
      <c r="A10" t="s">
        <v>52</v>
      </c>
      <c r="B10" t="s">
        <v>73</v>
      </c>
      <c r="C10" s="106" t="s">
        <v>57</v>
      </c>
      <c r="D10" s="109">
        <f>ROUND(VLOOKUP($C10,Px!$B$13:$K$19,9,0),4)</f>
        <v>7021.2312000000002</v>
      </c>
      <c r="E10" s="102">
        <f>VLOOKUP(C10,Px!$B$13:$K$19,10,0)</f>
        <v>39.183</v>
      </c>
      <c r="F10" s="41"/>
      <c r="G10" s="9"/>
      <c r="H10" s="83">
        <f>ROUND('ENEL DX'!$H$6,0)</f>
        <v>52867</v>
      </c>
      <c r="I10" s="81">
        <f t="shared" si="0"/>
        <v>2071488</v>
      </c>
      <c r="J10" s="82">
        <f t="shared" si="1"/>
        <v>0</v>
      </c>
      <c r="K10" s="82">
        <v>0</v>
      </c>
      <c r="L10" s="83"/>
    </row>
    <row r="11" spans="1:15" x14ac:dyDescent="0.25">
      <c r="A11" t="s">
        <v>52</v>
      </c>
      <c r="B11" t="s">
        <v>73</v>
      </c>
      <c r="C11" s="8" t="s">
        <v>58</v>
      </c>
      <c r="D11" s="108">
        <f>ROUND(VLOOKUP($C11,Px!$B$13:$K$19,9,0),4)</f>
        <v>6974.1889000000001</v>
      </c>
      <c r="E11" s="102">
        <f>VLOOKUP(C11,Px!$B$13:$K$19,10,0)</f>
        <v>40.840000000000003</v>
      </c>
      <c r="F11" s="41"/>
      <c r="G11" s="9"/>
      <c r="H11" s="83">
        <f>ROUND('ENEL DX'!$I$6,0)</f>
        <v>450</v>
      </c>
      <c r="I11" s="81">
        <f t="shared" si="0"/>
        <v>18378</v>
      </c>
      <c r="J11" s="82">
        <f t="shared" si="1"/>
        <v>0</v>
      </c>
      <c r="K11" s="82">
        <v>0</v>
      </c>
      <c r="L11" s="83"/>
    </row>
    <row r="12" spans="1:15" x14ac:dyDescent="0.25">
      <c r="A12" t="s">
        <v>52</v>
      </c>
      <c r="B12" t="s">
        <v>74</v>
      </c>
      <c r="C12" s="8" t="s">
        <v>13</v>
      </c>
      <c r="D12" s="16">
        <f>ROUND(VLOOKUP($C12,Px!$B$13:$K$19,9,0),4)</f>
        <v>6958.0401000000002</v>
      </c>
      <c r="E12" s="102">
        <f>VLOOKUP(C12,Px!$B$13:$K$19,10,0)</f>
        <v>42.070999999999998</v>
      </c>
      <c r="F12" s="41"/>
      <c r="G12" s="9"/>
      <c r="H12" s="83">
        <f>ROUND('ENEL DX'!$C$7,0)</f>
        <v>144949</v>
      </c>
      <c r="I12" s="81">
        <f t="shared" si="0"/>
        <v>6098149</v>
      </c>
      <c r="J12" s="82">
        <f t="shared" si="1"/>
        <v>0</v>
      </c>
      <c r="K12" s="82">
        <v>0</v>
      </c>
      <c r="L12" s="83"/>
      <c r="O12" s="85"/>
    </row>
    <row r="13" spans="1:15" x14ac:dyDescent="0.25">
      <c r="A13" t="s">
        <v>52</v>
      </c>
      <c r="B13" t="s">
        <v>74</v>
      </c>
      <c r="C13" s="8" t="s">
        <v>53</v>
      </c>
      <c r="D13" s="16">
        <f>ROUND(VLOOKUP($C13,Px!$B$13:$K$19,9,0),4)</f>
        <v>7101.2731999999996</v>
      </c>
      <c r="E13" s="102">
        <f>VLOOKUP(C13,Px!$B$13:$K$19,10,0)</f>
        <v>39.661000000000001</v>
      </c>
      <c r="F13" s="41"/>
      <c r="G13" s="9"/>
      <c r="H13" s="83">
        <f>ROUND('ENEL DX'!$D$7,0)</f>
        <v>209607</v>
      </c>
      <c r="I13" s="81">
        <f t="shared" si="0"/>
        <v>8313223</v>
      </c>
      <c r="J13" s="82">
        <f t="shared" si="1"/>
        <v>0</v>
      </c>
      <c r="K13" s="82">
        <v>0</v>
      </c>
      <c r="L13" s="83"/>
    </row>
    <row r="14" spans="1:15" x14ac:dyDescent="0.25">
      <c r="A14" t="s">
        <v>52</v>
      </c>
      <c r="B14" t="s">
        <v>74</v>
      </c>
      <c r="C14" s="8" t="s">
        <v>54</v>
      </c>
      <c r="D14" s="16">
        <f>ROUND(VLOOKUP($C14,Px!$B$13:$K$19,9,0),4)</f>
        <v>7111.1028999999999</v>
      </c>
      <c r="E14" s="102">
        <f>VLOOKUP(C14,Px!$B$13:$K$19,10,0)</f>
        <v>39.673000000000002</v>
      </c>
      <c r="F14" s="41"/>
      <c r="G14" s="9"/>
      <c r="H14" s="83">
        <f>ROUND('ENEL DX'!$E$7,0)</f>
        <v>189677</v>
      </c>
      <c r="I14" s="81">
        <f t="shared" si="0"/>
        <v>7525056</v>
      </c>
      <c r="J14" s="82">
        <f t="shared" si="1"/>
        <v>0</v>
      </c>
      <c r="K14" s="82">
        <v>0</v>
      </c>
      <c r="L14" s="83"/>
    </row>
    <row r="15" spans="1:15" x14ac:dyDescent="0.25">
      <c r="A15" t="s">
        <v>52</v>
      </c>
      <c r="B15" t="s">
        <v>74</v>
      </c>
      <c r="C15" s="8" t="s">
        <v>55</v>
      </c>
      <c r="D15" s="16">
        <f>ROUND(VLOOKUP($C15,Px!$B$13:$K$19,9,0),4)</f>
        <v>7050.0182000000004</v>
      </c>
      <c r="E15" s="102">
        <f>VLOOKUP(C15,Px!$B$13:$K$19,10,0)</f>
        <v>40.488</v>
      </c>
      <c r="F15" s="41"/>
      <c r="G15" s="9"/>
      <c r="H15" s="83">
        <f>ROUND('ENEL DX'!$F$7,0)</f>
        <v>189</v>
      </c>
      <c r="I15" s="81">
        <f t="shared" si="0"/>
        <v>7652</v>
      </c>
      <c r="J15" s="82">
        <f t="shared" si="1"/>
        <v>0</v>
      </c>
      <c r="K15" s="82">
        <v>0</v>
      </c>
      <c r="L15" s="83"/>
    </row>
    <row r="16" spans="1:15" x14ac:dyDescent="0.25">
      <c r="A16" t="s">
        <v>52</v>
      </c>
      <c r="B16" t="s">
        <v>74</v>
      </c>
      <c r="C16" s="8" t="s">
        <v>56</v>
      </c>
      <c r="D16" s="16">
        <f>ROUND(VLOOKUP($C16,Px!$B$13:$K$19,9,0),4)</f>
        <v>6906.0829999999996</v>
      </c>
      <c r="E16" s="102">
        <f>VLOOKUP(C16,Px!$B$13:$K$19,10,0)</f>
        <v>42.145000000000003</v>
      </c>
      <c r="F16" s="41"/>
      <c r="G16" s="9"/>
      <c r="H16" s="83">
        <f>ROUND('ENEL DX'!$G$7,0)</f>
        <v>60</v>
      </c>
      <c r="I16" s="81">
        <f t="shared" si="0"/>
        <v>2529</v>
      </c>
      <c r="J16" s="82">
        <f t="shared" si="1"/>
        <v>0</v>
      </c>
      <c r="K16" s="82">
        <v>0</v>
      </c>
      <c r="L16" s="83"/>
    </row>
    <row r="17" spans="1:13" x14ac:dyDescent="0.25">
      <c r="A17" t="s">
        <v>52</v>
      </c>
      <c r="B17" t="s">
        <v>74</v>
      </c>
      <c r="C17" s="8" t="s">
        <v>57</v>
      </c>
      <c r="D17" s="16">
        <f>ROUND(VLOOKUP($C17,Px!$B$13:$K$19,9,0),4)</f>
        <v>7021.2312000000002</v>
      </c>
      <c r="E17" s="102">
        <f>VLOOKUP(C17,Px!$B$13:$K$19,10,0)</f>
        <v>39.183</v>
      </c>
      <c r="F17" s="41"/>
      <c r="G17" s="9"/>
      <c r="H17" s="83">
        <f>ROUND('ENEL DX'!$H$7,0)</f>
        <v>85908</v>
      </c>
      <c r="I17" s="81">
        <f t="shared" si="0"/>
        <v>3366133</v>
      </c>
      <c r="J17" s="82">
        <f t="shared" si="1"/>
        <v>0</v>
      </c>
      <c r="K17" s="82">
        <v>0</v>
      </c>
      <c r="L17" s="83"/>
    </row>
    <row r="18" spans="1:13" x14ac:dyDescent="0.25">
      <c r="A18" t="s">
        <v>52</v>
      </c>
      <c r="B18" t="s">
        <v>74</v>
      </c>
      <c r="C18" s="8" t="s">
        <v>58</v>
      </c>
      <c r="D18" s="16">
        <f>ROUND(VLOOKUP($C18,Px!$B$13:$K$19,9,0),4)</f>
        <v>6974.1889000000001</v>
      </c>
      <c r="E18" s="102">
        <f>VLOOKUP(C18,Px!$B$13:$K$19,10,0)</f>
        <v>40.840000000000003</v>
      </c>
      <c r="F18" s="41"/>
      <c r="G18" s="9"/>
      <c r="H18" s="83">
        <f>ROUND('ENEL DX'!$I$7,0)</f>
        <v>724</v>
      </c>
      <c r="I18" s="81">
        <f t="shared" si="0"/>
        <v>29568</v>
      </c>
      <c r="J18" s="82">
        <f t="shared" si="1"/>
        <v>0</v>
      </c>
      <c r="K18" s="82">
        <v>0</v>
      </c>
      <c r="L18" s="83"/>
    </row>
    <row r="19" spans="1:13" x14ac:dyDescent="0.25">
      <c r="A19" t="s">
        <v>52</v>
      </c>
      <c r="B19" t="s">
        <v>75</v>
      </c>
      <c r="C19" s="8" t="s">
        <v>13</v>
      </c>
      <c r="D19" s="16">
        <f>ROUND(VLOOKUP($C19,Px!$B$13:$K$19,9,0),4)</f>
        <v>6958.0401000000002</v>
      </c>
      <c r="E19" s="102">
        <f>VLOOKUP(C19,Px!$B$13:$K$19,10,0)</f>
        <v>42.070999999999998</v>
      </c>
      <c r="F19" s="41"/>
      <c r="G19" s="99">
        <f>'ENEL DX'!K8</f>
        <v>723</v>
      </c>
      <c r="H19" s="83">
        <f>ROUND('ENEL DX'!$C$8,0)</f>
        <v>73597</v>
      </c>
      <c r="I19" s="81">
        <f t="shared" si="0"/>
        <v>3096299</v>
      </c>
      <c r="J19" s="82">
        <f t="shared" si="1"/>
        <v>5030663</v>
      </c>
      <c r="K19" s="82">
        <v>0</v>
      </c>
      <c r="L19" s="83"/>
    </row>
    <row r="20" spans="1:13" x14ac:dyDescent="0.25">
      <c r="A20" t="s">
        <v>52</v>
      </c>
      <c r="B20" t="s">
        <v>75</v>
      </c>
      <c r="C20" s="8" t="s">
        <v>53</v>
      </c>
      <c r="D20" s="16">
        <f>ROUND(VLOOKUP($C20,Px!$B$13:$K$19,9,0),4)</f>
        <v>7101.2731999999996</v>
      </c>
      <c r="E20" s="102">
        <f>VLOOKUP(C20,Px!$B$13:$K$19,10,0)</f>
        <v>39.661000000000001</v>
      </c>
      <c r="F20" s="41"/>
      <c r="G20" s="99">
        <f>'ENEL DX'!L8</f>
        <v>1048</v>
      </c>
      <c r="H20" s="83">
        <f>ROUND('ENEL DX'!$D$8,0)</f>
        <v>106407</v>
      </c>
      <c r="I20" s="81">
        <f t="shared" si="0"/>
        <v>4220208</v>
      </c>
      <c r="J20" s="82">
        <f t="shared" si="1"/>
        <v>7442134</v>
      </c>
      <c r="K20" s="82">
        <v>0</v>
      </c>
      <c r="L20" s="83"/>
    </row>
    <row r="21" spans="1:13" x14ac:dyDescent="0.25">
      <c r="A21" t="s">
        <v>52</v>
      </c>
      <c r="B21" t="s">
        <v>75</v>
      </c>
      <c r="C21" s="8" t="s">
        <v>54</v>
      </c>
      <c r="D21" s="16">
        <f>ROUND(VLOOKUP($C21,Px!$B$13:$K$19,9,0),4)</f>
        <v>7111.1028999999999</v>
      </c>
      <c r="E21" s="102">
        <f>VLOOKUP(C21,Px!$B$13:$K$19,10,0)</f>
        <v>39.673000000000002</v>
      </c>
      <c r="F21" s="41"/>
      <c r="G21" s="99">
        <f>'ENEL DX'!M8</f>
        <v>961</v>
      </c>
      <c r="H21" s="83">
        <f>ROUND('ENEL DX'!$E$8,0)</f>
        <v>99413</v>
      </c>
      <c r="I21" s="81">
        <f t="shared" si="0"/>
        <v>3944012</v>
      </c>
      <c r="J21" s="82">
        <f t="shared" si="1"/>
        <v>6833770</v>
      </c>
      <c r="K21" s="82">
        <v>0</v>
      </c>
      <c r="L21" s="83"/>
    </row>
    <row r="22" spans="1:13" x14ac:dyDescent="0.25">
      <c r="A22" t="s">
        <v>52</v>
      </c>
      <c r="B22" t="s">
        <v>75</v>
      </c>
      <c r="C22" s="8" t="s">
        <v>55</v>
      </c>
      <c r="D22" s="16">
        <f>ROUND(VLOOKUP($C22,Px!$B$13:$K$19,9,0),4)</f>
        <v>7050.0182000000004</v>
      </c>
      <c r="E22" s="102">
        <f>VLOOKUP(C22,Px!$B$13:$K$19,10,0)</f>
        <v>40.488</v>
      </c>
      <c r="F22" s="41"/>
      <c r="G22" s="99">
        <f>'ENEL DX'!N8</f>
        <v>1</v>
      </c>
      <c r="H22" s="83">
        <f>ROUND('ENEL DX'!$F$8,0)</f>
        <v>101</v>
      </c>
      <c r="I22" s="81">
        <f t="shared" si="0"/>
        <v>4089</v>
      </c>
      <c r="J22" s="82">
        <f t="shared" si="1"/>
        <v>7050</v>
      </c>
      <c r="K22" s="93">
        <v>0</v>
      </c>
      <c r="L22" s="83"/>
    </row>
    <row r="23" spans="1:13" x14ac:dyDescent="0.25">
      <c r="A23" t="s">
        <v>52</v>
      </c>
      <c r="B23" t="s">
        <v>75</v>
      </c>
      <c r="C23" s="8" t="s">
        <v>56</v>
      </c>
      <c r="D23" s="16">
        <f>ROUND(VLOOKUP($C23,Px!$B$13:$K$19,9,0),4)</f>
        <v>6906.0829999999996</v>
      </c>
      <c r="E23" s="102">
        <f>VLOOKUP(C23,Px!$B$13:$K$19,10,0)</f>
        <v>42.145000000000003</v>
      </c>
      <c r="F23" s="41"/>
      <c r="G23" s="99">
        <f>'ENEL DX'!O8</f>
        <v>0</v>
      </c>
      <c r="H23" s="83">
        <f>ROUND('ENEL DX'!$G$8,0)</f>
        <v>32</v>
      </c>
      <c r="I23" s="81">
        <f t="shared" si="0"/>
        <v>1349</v>
      </c>
      <c r="J23" s="82">
        <f t="shared" si="1"/>
        <v>0</v>
      </c>
      <c r="K23" s="82">
        <v>0</v>
      </c>
      <c r="L23" s="83"/>
    </row>
    <row r="24" spans="1:13" x14ac:dyDescent="0.25">
      <c r="A24" t="s">
        <v>52</v>
      </c>
      <c r="B24" t="s">
        <v>75</v>
      </c>
      <c r="C24" s="8" t="s">
        <v>57</v>
      </c>
      <c r="D24" s="16">
        <f>ROUND(VLOOKUP($C24,Px!$B$13:$K$19,9,0),4)</f>
        <v>7021.2312000000002</v>
      </c>
      <c r="E24" s="102">
        <f>VLOOKUP(C24,Px!$B$13:$K$19,10,0)</f>
        <v>39.183</v>
      </c>
      <c r="F24" s="41"/>
      <c r="G24" s="99">
        <f>'ENEL DX'!P8</f>
        <v>424</v>
      </c>
      <c r="H24" s="83">
        <f>ROUND('ENEL DX'!$H$8,0)</f>
        <v>42493</v>
      </c>
      <c r="I24" s="81">
        <f t="shared" si="0"/>
        <v>1665003</v>
      </c>
      <c r="J24" s="82">
        <f t="shared" si="1"/>
        <v>2977002</v>
      </c>
      <c r="K24" s="82">
        <v>0</v>
      </c>
      <c r="L24" s="83"/>
    </row>
    <row r="25" spans="1:13" x14ac:dyDescent="0.25">
      <c r="A25" t="s">
        <v>52</v>
      </c>
      <c r="B25" t="s">
        <v>75</v>
      </c>
      <c r="C25" t="s">
        <v>58</v>
      </c>
      <c r="D25" s="74">
        <f>ROUND(VLOOKUP($C25,Px!$B$13:$K$19,9,0),4)</f>
        <v>6974.1889000000001</v>
      </c>
      <c r="E25" s="103">
        <f>VLOOKUP(C25,Px!$B$13:$K$19,10,0)</f>
        <v>40.840000000000003</v>
      </c>
      <c r="F25" s="75"/>
      <c r="G25" s="100">
        <f>'ENEL DX'!Q8</f>
        <v>4</v>
      </c>
      <c r="H25" s="83">
        <f>ROUND('ENEL DX'!$I$8,0)</f>
        <v>345</v>
      </c>
      <c r="I25" s="76">
        <f t="shared" si="0"/>
        <v>14090</v>
      </c>
      <c r="J25" s="77">
        <f t="shared" si="1"/>
        <v>27897</v>
      </c>
      <c r="K25" s="77">
        <v>0</v>
      </c>
      <c r="L25" s="77"/>
      <c r="M25" s="84"/>
    </row>
    <row r="26" spans="1:13" ht="14.4" x14ac:dyDescent="0.3">
      <c r="A26" s="17"/>
      <c r="B26" s="17"/>
      <c r="C26" s="17"/>
      <c r="D26" s="17"/>
      <c r="E26" s="38"/>
      <c r="F26" s="73" t="s">
        <v>9</v>
      </c>
      <c r="G26" s="90">
        <f>SUM(G5:G25)</f>
        <v>3161</v>
      </c>
      <c r="H26" s="91">
        <f t="shared" ref="H26:K26" si="2">SUM(H5:H25)</f>
        <v>1350826</v>
      </c>
      <c r="I26" s="90">
        <f>SUM(I5:I25)</f>
        <v>54240117</v>
      </c>
      <c r="J26" s="90">
        <f>SUM(J5:J25)</f>
        <v>22318516</v>
      </c>
      <c r="K26" s="90">
        <f t="shared" si="2"/>
        <v>467</v>
      </c>
      <c r="L26" s="91">
        <f>SUM(L5:L25)</f>
        <v>0</v>
      </c>
    </row>
    <row r="28" spans="1:13" x14ac:dyDescent="0.25">
      <c r="E28" s="11" t="s">
        <v>48</v>
      </c>
      <c r="F28" t="s">
        <v>49</v>
      </c>
    </row>
    <row r="31" spans="1:13" x14ac:dyDescent="0.25">
      <c r="I31" s="113"/>
      <c r="J31" s="114"/>
      <c r="K31" s="115"/>
    </row>
    <row r="32" spans="1:13" ht="13.8" x14ac:dyDescent="0.25">
      <c r="I32" s="116"/>
      <c r="J32" s="114"/>
      <c r="K32" s="115"/>
    </row>
    <row r="33" spans="9:15" x14ac:dyDescent="0.25">
      <c r="I33" s="113"/>
      <c r="J33" s="114"/>
      <c r="K33" s="115"/>
    </row>
    <row r="34" spans="9:15" x14ac:dyDescent="0.25">
      <c r="I34" s="113"/>
      <c r="J34" s="114"/>
      <c r="K34" s="115"/>
    </row>
    <row r="35" spans="9:15" x14ac:dyDescent="0.25">
      <c r="I35" s="113"/>
      <c r="J35" s="114"/>
      <c r="K35" s="115"/>
    </row>
    <row r="36" spans="9:15" x14ac:dyDescent="0.25">
      <c r="I36" s="113"/>
      <c r="J36" s="114"/>
      <c r="K36" s="115"/>
    </row>
    <row r="37" spans="9:15" x14ac:dyDescent="0.25">
      <c r="I37" s="113"/>
      <c r="J37" s="114"/>
      <c r="K37" s="115"/>
      <c r="N37" s="15"/>
      <c r="O37" s="15"/>
    </row>
    <row r="38" spans="9:15" x14ac:dyDescent="0.25">
      <c r="I38" s="113"/>
      <c r="J38" s="117"/>
      <c r="K38" s="115"/>
    </row>
    <row r="39" spans="9:15" s="15" customFormat="1" ht="20.25" customHeight="1" x14ac:dyDescent="0.25">
      <c r="I39" s="118"/>
      <c r="J39" s="117"/>
      <c r="K39" s="115"/>
      <c r="N39"/>
      <c r="O39"/>
    </row>
    <row r="40" spans="9:15" x14ac:dyDescent="0.25">
      <c r="I40" s="113"/>
      <c r="J40" s="117"/>
      <c r="K40" s="115"/>
    </row>
    <row r="41" spans="9:15" x14ac:dyDescent="0.25">
      <c r="I41" s="113"/>
      <c r="J41" s="117"/>
      <c r="K41" s="115"/>
    </row>
    <row r="42" spans="9:15" x14ac:dyDescent="0.25">
      <c r="I42" s="113"/>
      <c r="J42" s="117"/>
      <c r="K42" s="115"/>
    </row>
    <row r="43" spans="9:15" x14ac:dyDescent="0.25">
      <c r="I43" s="113"/>
      <c r="J43" s="117"/>
      <c r="K43" s="115"/>
    </row>
    <row r="44" spans="9:15" x14ac:dyDescent="0.25">
      <c r="I44" s="113"/>
      <c r="J44" s="117"/>
      <c r="K44" s="115"/>
    </row>
    <row r="45" spans="9:15" x14ac:dyDescent="0.25">
      <c r="I45" s="113"/>
      <c r="J45" s="117"/>
      <c r="K45" s="115"/>
    </row>
    <row r="46" spans="9:15" x14ac:dyDescent="0.25">
      <c r="I46" s="113"/>
      <c r="J46" s="117"/>
      <c r="K46" s="115"/>
    </row>
    <row r="47" spans="9:15" x14ac:dyDescent="0.25">
      <c r="I47" s="113"/>
      <c r="J47" s="117"/>
      <c r="K47" s="115"/>
    </row>
    <row r="48" spans="9:15" x14ac:dyDescent="0.25">
      <c r="I48" s="113"/>
      <c r="J48" s="117"/>
      <c r="K48" s="115"/>
    </row>
    <row r="49" spans="9:11" x14ac:dyDescent="0.25">
      <c r="I49" s="113"/>
      <c r="J49" s="117"/>
      <c r="K49" s="115"/>
    </row>
    <row r="50" spans="9:11" x14ac:dyDescent="0.25">
      <c r="I50" s="113"/>
      <c r="J50" s="117"/>
      <c r="K50" s="115"/>
    </row>
    <row r="51" spans="9:11" x14ac:dyDescent="0.25">
      <c r="I51" s="113"/>
      <c r="J51" s="117"/>
      <c r="K51" s="115"/>
    </row>
    <row r="52" spans="9:11" x14ac:dyDescent="0.25">
      <c r="I52" s="119"/>
      <c r="J52" s="119"/>
      <c r="K52" s="119"/>
    </row>
    <row r="53" spans="9:11" x14ac:dyDescent="0.25">
      <c r="I53" s="119"/>
      <c r="J53" s="119"/>
      <c r="K53" s="119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9"/>
  <sheetViews>
    <sheetView zoomScale="85" zoomScaleNormal="85" workbookViewId="0">
      <selection activeCell="H18" sqref="H18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123" t="s">
        <v>66</v>
      </c>
    </row>
    <row r="3" spans="1:18" ht="15" thickBot="1" x14ac:dyDescent="0.35">
      <c r="A3" s="33" t="s">
        <v>35</v>
      </c>
      <c r="B3" s="33" t="s">
        <v>64</v>
      </c>
    </row>
    <row r="4" spans="1:18" ht="13.8" thickBot="1" x14ac:dyDescent="0.3">
      <c r="C4" s="142" t="s">
        <v>62</v>
      </c>
      <c r="D4" s="143"/>
      <c r="E4" s="143"/>
      <c r="F4" s="143"/>
      <c r="G4" s="143"/>
      <c r="H4" s="143"/>
      <c r="I4" s="143"/>
      <c r="J4" s="144"/>
      <c r="K4" s="142" t="s">
        <v>59</v>
      </c>
      <c r="L4" s="143"/>
      <c r="M4" s="143"/>
      <c r="N4" s="143"/>
      <c r="O4" s="143"/>
      <c r="P4" s="143"/>
      <c r="Q4" s="143"/>
      <c r="R4" s="144"/>
    </row>
    <row r="5" spans="1:18" ht="15" thickBot="1" x14ac:dyDescent="0.3">
      <c r="A5" s="34" t="s">
        <v>37</v>
      </c>
      <c r="B5" s="35" t="s">
        <v>38</v>
      </c>
      <c r="C5" s="112" t="s">
        <v>13</v>
      </c>
      <c r="D5" s="112" t="s">
        <v>53</v>
      </c>
      <c r="E5" s="112" t="s">
        <v>54</v>
      </c>
      <c r="F5" s="112" t="s">
        <v>55</v>
      </c>
      <c r="G5" s="112" t="s">
        <v>56</v>
      </c>
      <c r="H5" s="112" t="s">
        <v>57</v>
      </c>
      <c r="I5" s="112" t="s">
        <v>58</v>
      </c>
      <c r="J5" s="97" t="s">
        <v>9</v>
      </c>
      <c r="K5" s="98" t="s">
        <v>13</v>
      </c>
      <c r="L5" s="96" t="s">
        <v>53</v>
      </c>
      <c r="M5" s="96" t="s">
        <v>54</v>
      </c>
      <c r="N5" s="96" t="s">
        <v>55</v>
      </c>
      <c r="O5" s="96" t="s">
        <v>56</v>
      </c>
      <c r="P5" s="96" t="s">
        <v>57</v>
      </c>
      <c r="Q5" s="96" t="s">
        <v>58</v>
      </c>
      <c r="R5" s="97" t="s">
        <v>9</v>
      </c>
    </row>
    <row r="6" spans="1:18" x14ac:dyDescent="0.25">
      <c r="A6" s="36" t="s">
        <v>39</v>
      </c>
      <c r="B6" s="37" t="s">
        <v>70</v>
      </c>
      <c r="C6" s="126">
        <v>90263.440251587162</v>
      </c>
      <c r="D6" s="126">
        <v>131763.83012224018</v>
      </c>
      <c r="E6" s="126">
        <v>121790.3911932698</v>
      </c>
      <c r="F6" s="126">
        <v>143.95971763728855</v>
      </c>
      <c r="G6" s="126">
        <v>45.563092407331212</v>
      </c>
      <c r="H6" s="126">
        <v>52866.718451930283</v>
      </c>
      <c r="I6" s="126">
        <v>449.89257885850236</v>
      </c>
      <c r="J6" s="110">
        <f>SUM(C6:I6)</f>
        <v>397323.79540793045</v>
      </c>
      <c r="K6" s="124">
        <v>0</v>
      </c>
      <c r="L6" s="124">
        <v>0</v>
      </c>
      <c r="M6" s="124">
        <v>0</v>
      </c>
      <c r="N6" s="124">
        <v>0</v>
      </c>
      <c r="O6" s="124">
        <v>0</v>
      </c>
      <c r="P6" s="124">
        <v>0</v>
      </c>
      <c r="Q6" s="124">
        <v>0</v>
      </c>
      <c r="R6" s="94">
        <f>SUM(K6:Q6)</f>
        <v>0</v>
      </c>
    </row>
    <row r="7" spans="1:18" x14ac:dyDescent="0.25">
      <c r="A7" s="36" t="s">
        <v>39</v>
      </c>
      <c r="B7" s="37" t="s">
        <v>71</v>
      </c>
      <c r="C7" s="126">
        <v>144949.05312398585</v>
      </c>
      <c r="D7" s="126">
        <v>209607.20143493524</v>
      </c>
      <c r="E7" s="126">
        <v>189677.27210151913</v>
      </c>
      <c r="F7" s="126">
        <v>188.77907444438651</v>
      </c>
      <c r="G7" s="126">
        <v>60.088623378507656</v>
      </c>
      <c r="H7" s="126">
        <v>85908.053538540698</v>
      </c>
      <c r="I7" s="126">
        <v>724.21347985378497</v>
      </c>
      <c r="J7" s="111">
        <f t="shared" ref="J7" si="0">SUM(C7:I7)</f>
        <v>631114.66137665778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9">
        <v>0</v>
      </c>
      <c r="R7" s="95">
        <f t="shared" ref="R7:R8" si="1">SUM(K7:Q7)</f>
        <v>0</v>
      </c>
    </row>
    <row r="8" spans="1:18" x14ac:dyDescent="0.25">
      <c r="A8" s="36" t="s">
        <v>39</v>
      </c>
      <c r="B8" s="37" t="s">
        <v>72</v>
      </c>
      <c r="C8" s="127">
        <v>73596.815827040482</v>
      </c>
      <c r="D8" s="127">
        <v>106407.3473548848</v>
      </c>
      <c r="E8" s="127">
        <v>99412.57472049231</v>
      </c>
      <c r="F8" s="127">
        <v>101.38995316218079</v>
      </c>
      <c r="G8" s="127">
        <v>32.294338882618327</v>
      </c>
      <c r="H8" s="127">
        <v>42493.05079028169</v>
      </c>
      <c r="I8" s="127">
        <v>345.38624135503505</v>
      </c>
      <c r="J8" s="111">
        <f>SUM(C8:I8)</f>
        <v>322388.8592260991</v>
      </c>
      <c r="K8" s="130">
        <v>723</v>
      </c>
      <c r="L8" s="130">
        <v>1048</v>
      </c>
      <c r="M8" s="130">
        <v>961</v>
      </c>
      <c r="N8" s="130">
        <v>1</v>
      </c>
      <c r="O8" s="130">
        <v>0</v>
      </c>
      <c r="P8" s="130">
        <v>424</v>
      </c>
      <c r="Q8" s="131">
        <v>4</v>
      </c>
      <c r="R8" s="95">
        <f t="shared" si="1"/>
        <v>3161</v>
      </c>
    </row>
    <row r="9" spans="1:18" x14ac:dyDescent="0.25">
      <c r="C9" s="125"/>
      <c r="D9" s="125"/>
      <c r="E9" s="125"/>
      <c r="F9" s="125"/>
      <c r="G9" s="125"/>
      <c r="H9" s="125"/>
      <c r="I9" s="125"/>
      <c r="K9" s="125"/>
      <c r="L9" s="125"/>
      <c r="M9" s="125"/>
      <c r="N9" s="125"/>
      <c r="O9" s="125"/>
      <c r="P9" s="125"/>
      <c r="Q9" s="125"/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D23" sqref="D23:E29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8" t="s">
        <v>15</v>
      </c>
      <c r="B2" s="19"/>
      <c r="C2" s="19" t="s">
        <v>16</v>
      </c>
      <c r="D2" s="20" t="s">
        <v>17</v>
      </c>
      <c r="E2" s="21"/>
      <c r="F2" s="21"/>
      <c r="G2" s="21"/>
    </row>
    <row r="3" spans="1:15" ht="13.8" x14ac:dyDescent="0.3">
      <c r="A3" s="22" t="s">
        <v>18</v>
      </c>
      <c r="B3" s="21" t="s">
        <v>19</v>
      </c>
      <c r="C3" s="21">
        <v>46.65</v>
      </c>
      <c r="D3" s="23" t="s">
        <v>20</v>
      </c>
      <c r="E3" s="70"/>
      <c r="F3" s="21"/>
      <c r="G3" s="69"/>
    </row>
    <row r="4" spans="1:15" ht="13.8" x14ac:dyDescent="0.3">
      <c r="A4" s="24" t="s">
        <v>21</v>
      </c>
      <c r="B4" s="25" t="s">
        <v>22</v>
      </c>
      <c r="C4" s="25">
        <v>8.3592999999999993</v>
      </c>
      <c r="D4" s="26" t="s">
        <v>20</v>
      </c>
      <c r="E4" s="70"/>
      <c r="F4" s="21"/>
      <c r="G4" s="69"/>
      <c r="H4" s="92" t="s">
        <v>63</v>
      </c>
      <c r="I4" s="92" t="s">
        <v>65</v>
      </c>
    </row>
    <row r="5" spans="1:15" ht="13.8" x14ac:dyDescent="0.3">
      <c r="A5" s="18" t="s">
        <v>15</v>
      </c>
      <c r="B5" s="19"/>
      <c r="C5" s="19" t="s">
        <v>16</v>
      </c>
      <c r="D5" s="20" t="s">
        <v>17</v>
      </c>
      <c r="E5" s="21"/>
      <c r="F5" s="21"/>
      <c r="G5" s="18" t="s">
        <v>50</v>
      </c>
      <c r="H5" s="86">
        <v>3.0096147303192753</v>
      </c>
      <c r="I5" s="120">
        <v>3.0419999999999998</v>
      </c>
      <c r="J5">
        <v>0</v>
      </c>
    </row>
    <row r="6" spans="1:15" ht="13.8" x14ac:dyDescent="0.3">
      <c r="A6" s="22" t="s">
        <v>23</v>
      </c>
      <c r="B6" s="21"/>
      <c r="C6" s="21">
        <v>744.1</v>
      </c>
      <c r="D6" s="23" t="s">
        <v>67</v>
      </c>
      <c r="E6" s="21"/>
      <c r="F6" s="21"/>
      <c r="G6" s="65" t="s">
        <v>46</v>
      </c>
      <c r="H6" s="87">
        <v>0.90529547693185475</v>
      </c>
      <c r="I6" s="121">
        <v>0.93996759824548237</v>
      </c>
      <c r="J6">
        <v>1</v>
      </c>
    </row>
    <row r="7" spans="1:15" ht="13.8" x14ac:dyDescent="0.3">
      <c r="A7" s="22" t="s">
        <v>24</v>
      </c>
      <c r="B7" s="21"/>
      <c r="C7" s="89">
        <v>268.14</v>
      </c>
      <c r="D7" s="128">
        <v>44470</v>
      </c>
      <c r="E7" s="21"/>
      <c r="F7" s="21"/>
      <c r="G7" s="66" t="s">
        <v>47</v>
      </c>
      <c r="H7" s="88">
        <v>0.76950071006485832</v>
      </c>
      <c r="I7" s="122">
        <v>0.83899999999999997</v>
      </c>
      <c r="J7">
        <v>1</v>
      </c>
      <c r="K7" s="54"/>
    </row>
    <row r="8" spans="1:15" ht="13.8" x14ac:dyDescent="0.3">
      <c r="A8" s="22" t="s">
        <v>25</v>
      </c>
      <c r="B8" s="21"/>
      <c r="C8" s="27">
        <v>237.547</v>
      </c>
      <c r="D8" s="28" t="s">
        <v>68</v>
      </c>
      <c r="E8" s="21"/>
      <c r="F8" s="21"/>
      <c r="G8" s="21"/>
      <c r="O8" s="54"/>
    </row>
    <row r="9" spans="1:15" ht="13.8" x14ac:dyDescent="0.3">
      <c r="A9" s="24" t="s">
        <v>26</v>
      </c>
      <c r="B9" s="25"/>
      <c r="C9" s="29"/>
      <c r="D9" s="30" t="s">
        <v>69</v>
      </c>
      <c r="E9" s="21"/>
      <c r="F9" s="21"/>
      <c r="G9" s="21"/>
      <c r="O9" s="54"/>
    </row>
    <row r="10" spans="1:15" ht="13.8" x14ac:dyDescent="0.3">
      <c r="A10" s="21"/>
      <c r="B10" s="21"/>
      <c r="C10" s="21"/>
      <c r="D10" s="21"/>
      <c r="E10" s="21"/>
      <c r="F10" s="21"/>
      <c r="G10" s="21"/>
    </row>
    <row r="11" spans="1:15" ht="13.8" x14ac:dyDescent="0.3">
      <c r="A11" s="42"/>
      <c r="B11" s="42"/>
      <c r="C11" s="43"/>
      <c r="D11" s="42"/>
      <c r="E11" s="42"/>
      <c r="F11" s="42"/>
      <c r="G11" s="42"/>
      <c r="H11" s="44"/>
      <c r="I11" s="63"/>
      <c r="J11" s="44"/>
    </row>
    <row r="12" spans="1:15" ht="27.6" x14ac:dyDescent="0.25">
      <c r="A12" s="45" t="s">
        <v>41</v>
      </c>
      <c r="B12" s="45" t="s">
        <v>27</v>
      </c>
      <c r="C12" s="45" t="s">
        <v>42</v>
      </c>
      <c r="D12" s="45" t="s">
        <v>28</v>
      </c>
      <c r="E12" s="45" t="s">
        <v>45</v>
      </c>
      <c r="F12" s="45" t="s">
        <v>29</v>
      </c>
      <c r="G12" s="45" t="s">
        <v>30</v>
      </c>
      <c r="H12" s="45" t="s">
        <v>31</v>
      </c>
      <c r="I12" s="45" t="s">
        <v>32</v>
      </c>
      <c r="J12" s="71" t="s">
        <v>32</v>
      </c>
      <c r="K12" s="72" t="s">
        <v>43</v>
      </c>
    </row>
    <row r="13" spans="1:15" ht="13.8" x14ac:dyDescent="0.3">
      <c r="A13" s="21" t="s">
        <v>60</v>
      </c>
      <c r="B13" s="21" t="s">
        <v>13</v>
      </c>
      <c r="C13" s="46"/>
      <c r="D13" s="47">
        <v>1.0737000000000001</v>
      </c>
      <c r="E13" s="47">
        <v>0.99099999999999999</v>
      </c>
      <c r="F13" s="48">
        <f>($C$3*$C$7/$C$8-$J$5)*D13</f>
        <v>56.538809055471134</v>
      </c>
      <c r="G13" s="48">
        <f>$C$4*$C$7/$C$8*E13</f>
        <v>9.3509475500932435</v>
      </c>
      <c r="H13" s="48">
        <f>ROUND(F13*$C$6/1000,3)</f>
        <v>42.070999999999998</v>
      </c>
      <c r="I13" s="64">
        <f>G13*$C$6</f>
        <v>6958.0400720243824</v>
      </c>
      <c r="J13" s="104">
        <f>ROUND(I13*$J$7,4)</f>
        <v>6958.0401000000002</v>
      </c>
      <c r="K13" s="49">
        <f>ROUND(H13*$J$6,3)</f>
        <v>42.070999999999998</v>
      </c>
    </row>
    <row r="14" spans="1:15" ht="13.8" x14ac:dyDescent="0.3">
      <c r="A14" s="21" t="s">
        <v>60</v>
      </c>
      <c r="B14" s="21" t="s">
        <v>53</v>
      </c>
      <c r="C14" s="46"/>
      <c r="D14" s="47">
        <v>1.0122</v>
      </c>
      <c r="E14" s="47">
        <v>1.0114000000000001</v>
      </c>
      <c r="F14" s="48">
        <f t="shared" ref="F14:F19" si="0">($C$3*$C$7/$C$8-$J$5)*D14</f>
        <v>53.300346955339364</v>
      </c>
      <c r="G14" s="48">
        <f t="shared" ref="G14:G15" si="1">$C$4*$C$7/$C$8*E14</f>
        <v>9.5434393059175662</v>
      </c>
      <c r="H14" s="48">
        <f t="shared" ref="H14:H19" si="2">ROUND(F14*$C$6/1000,3)</f>
        <v>39.661000000000001</v>
      </c>
      <c r="I14" s="64">
        <f>G14*$C$6</f>
        <v>7101.2731875332611</v>
      </c>
      <c r="J14" s="104">
        <f t="shared" ref="J14:J19" si="3">ROUND(I14*$J$7,4)</f>
        <v>7101.2731999999996</v>
      </c>
      <c r="K14" s="49">
        <f t="shared" ref="K14:K19" si="4">ROUND(H14*$J$6,3)</f>
        <v>39.661000000000001</v>
      </c>
    </row>
    <row r="15" spans="1:15" ht="13.8" x14ac:dyDescent="0.3">
      <c r="A15" s="21" t="s">
        <v>60</v>
      </c>
      <c r="B15" s="21" t="s">
        <v>54</v>
      </c>
      <c r="C15" s="46"/>
      <c r="D15" s="47">
        <v>1.0125</v>
      </c>
      <c r="E15" s="47">
        <v>1.0127999999999999</v>
      </c>
      <c r="F15" s="48">
        <f t="shared" si="0"/>
        <v>53.31614433143757</v>
      </c>
      <c r="G15" s="48">
        <f t="shared" si="1"/>
        <v>9.556649524454528</v>
      </c>
      <c r="H15" s="48">
        <f t="shared" si="2"/>
        <v>39.673000000000002</v>
      </c>
      <c r="I15" s="64">
        <f>G15*$C$6</f>
        <v>7111.1029111466141</v>
      </c>
      <c r="J15" s="104">
        <f t="shared" si="3"/>
        <v>7111.1028999999999</v>
      </c>
      <c r="K15" s="49">
        <f t="shared" si="4"/>
        <v>39.673000000000002</v>
      </c>
    </row>
    <row r="16" spans="1:15" ht="13.8" x14ac:dyDescent="0.3">
      <c r="A16" s="21" t="s">
        <v>60</v>
      </c>
      <c r="B16" s="21" t="s">
        <v>55</v>
      </c>
      <c r="C16" s="46"/>
      <c r="D16" s="47">
        <v>1.0333000000000001</v>
      </c>
      <c r="E16" s="47">
        <v>1.0041</v>
      </c>
      <c r="F16" s="48">
        <f t="shared" si="0"/>
        <v>54.411429074246371</v>
      </c>
      <c r="G16" s="48">
        <f>$C$4*$C$7/$C$8*E16</f>
        <v>9.4745574521176863</v>
      </c>
      <c r="H16" s="48">
        <f t="shared" si="2"/>
        <v>40.488</v>
      </c>
      <c r="I16" s="64">
        <f>G16*$C$6</f>
        <v>7050.0182001207704</v>
      </c>
      <c r="J16" s="104">
        <f t="shared" si="3"/>
        <v>7050.0182000000004</v>
      </c>
      <c r="K16" s="49">
        <f t="shared" si="4"/>
        <v>40.488</v>
      </c>
    </row>
    <row r="17" spans="1:11" ht="13.8" x14ac:dyDescent="0.3">
      <c r="A17" s="21" t="s">
        <v>60</v>
      </c>
      <c r="B17" t="s">
        <v>56</v>
      </c>
      <c r="D17" s="47">
        <v>1.0755999999999999</v>
      </c>
      <c r="E17" s="47">
        <v>0.98360000000000003</v>
      </c>
      <c r="F17" s="48">
        <f t="shared" si="0"/>
        <v>56.638859104093079</v>
      </c>
      <c r="G17" s="48">
        <f t="shared" ref="G17:G19" si="5">$C$4*$C$7/$C$8*E17</f>
        <v>9.2811221092550102</v>
      </c>
      <c r="H17" s="48">
        <f t="shared" si="2"/>
        <v>42.145000000000003</v>
      </c>
      <c r="I17" s="64">
        <f t="shared" ref="I17:I19" si="6">G17*$C$6</f>
        <v>6906.0829614966533</v>
      </c>
      <c r="J17" s="104">
        <f t="shared" si="3"/>
        <v>6906.0829999999996</v>
      </c>
      <c r="K17" s="49">
        <f t="shared" si="4"/>
        <v>42.145000000000003</v>
      </c>
    </row>
    <row r="18" spans="1:11" ht="13.8" x14ac:dyDescent="0.3">
      <c r="A18" s="21" t="s">
        <v>60</v>
      </c>
      <c r="B18" t="s">
        <v>57</v>
      </c>
      <c r="D18" s="47">
        <v>1</v>
      </c>
      <c r="E18" s="47">
        <v>1</v>
      </c>
      <c r="F18" s="48">
        <f>($C$3*$C$7/$C$8-$J$5)*D18</f>
        <v>52.657920327345749</v>
      </c>
      <c r="G18" s="48">
        <f t="shared" si="5"/>
        <v>9.4358703835451507</v>
      </c>
      <c r="H18" s="48">
        <f t="shared" si="2"/>
        <v>39.183</v>
      </c>
      <c r="I18" s="64">
        <f t="shared" si="6"/>
        <v>7021.231152395947</v>
      </c>
      <c r="J18" s="104">
        <f>ROUND(I18*$J$7,4)</f>
        <v>7021.2312000000002</v>
      </c>
      <c r="K18" s="49">
        <f t="shared" si="4"/>
        <v>39.183</v>
      </c>
    </row>
    <row r="19" spans="1:11" ht="13.8" x14ac:dyDescent="0.3">
      <c r="A19" s="21" t="s">
        <v>60</v>
      </c>
      <c r="B19" t="s">
        <v>58</v>
      </c>
      <c r="D19" s="47">
        <v>1.0423</v>
      </c>
      <c r="E19" s="47">
        <v>0.99329999999999996</v>
      </c>
      <c r="F19" s="48">
        <f t="shared" si="0"/>
        <v>54.885350357192472</v>
      </c>
      <c r="G19" s="48">
        <f t="shared" si="5"/>
        <v>9.3726500519753984</v>
      </c>
      <c r="H19" s="48">
        <f t="shared" si="2"/>
        <v>40.840000000000003</v>
      </c>
      <c r="I19" s="64">
        <f t="shared" si="6"/>
        <v>6974.1889036748944</v>
      </c>
      <c r="J19" s="104">
        <f t="shared" si="3"/>
        <v>6974.1889000000001</v>
      </c>
      <c r="K19" s="49">
        <f t="shared" si="4"/>
        <v>40.840000000000003</v>
      </c>
    </row>
    <row r="20" spans="1:11" x14ac:dyDescent="0.25">
      <c r="J20" s="105"/>
    </row>
    <row r="22" spans="1:11" x14ac:dyDescent="0.25">
      <c r="E22" s="85"/>
    </row>
    <row r="24" spans="1:11" ht="13.8" x14ac:dyDescent="0.3">
      <c r="I24" s="21"/>
    </row>
    <row r="25" spans="1:11" ht="13.8" x14ac:dyDescent="0.3">
      <c r="I25" s="21"/>
    </row>
    <row r="26" spans="1:11" ht="13.8" x14ac:dyDescent="0.3">
      <c r="I26" s="21"/>
    </row>
    <row r="27" spans="1:11" ht="13.8" x14ac:dyDescent="0.3">
      <c r="I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2022-02-15T22:06:05Z</dcterms:modified>
</cp:coreProperties>
</file>