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Propuestas\"/>
    </mc:Choice>
  </mc:AlternateContent>
  <xr:revisionPtr revIDLastSave="0" documentId="8_{E08DD4D0-DFC8-44C1-BC54-6E0F521BD7E1}" xr6:coauthVersionLast="47" xr6:coauthVersionMax="47" xr10:uidLastSave="{00000000-0000-0000-0000-000000000000}"/>
  <bookViews>
    <workbookView xWindow="-108" yWindow="-108" windowWidth="23256" windowHeight="12576" activeTab="2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2" l="1"/>
  <c r="H13" i="2"/>
  <c r="K13" i="2"/>
  <c r="F14" i="2" l="1"/>
  <c r="G13" i="2" l="1"/>
  <c r="I13" i="2" s="1"/>
  <c r="J13" i="2" s="1"/>
  <c r="F15" i="2" l="1"/>
  <c r="F16" i="2"/>
  <c r="O8" i="3" l="1"/>
  <c r="O7" i="3"/>
  <c r="O6" i="3"/>
  <c r="G13" i="1" l="1"/>
  <c r="K17" i="1" l="1"/>
  <c r="O7" i="1" s="1"/>
  <c r="E13" i="1" l="1"/>
  <c r="E9" i="1"/>
  <c r="E5" i="1"/>
  <c r="H12" i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D16" i="1" l="1"/>
  <c r="J16" i="1" s="1"/>
  <c r="D12" i="1"/>
  <c r="J12" i="1" s="1"/>
  <c r="D8" i="1"/>
  <c r="J8" i="1" s="1"/>
  <c r="E16" i="1"/>
  <c r="I16" i="1" s="1"/>
  <c r="E12" i="1"/>
  <c r="I12" i="1" s="1"/>
  <c r="E8" i="1"/>
  <c r="I8" i="1" s="1"/>
  <c r="H14" i="2" l="1"/>
  <c r="K14" i="2" s="1"/>
  <c r="H15" i="2"/>
  <c r="K15" i="2" s="1"/>
  <c r="E15" i="1" l="1"/>
  <c r="E11" i="1"/>
  <c r="E7" i="1"/>
  <c r="E14" i="1"/>
  <c r="E10" i="1"/>
  <c r="E6" i="1"/>
  <c r="G14" i="2"/>
  <c r="I14" i="2" s="1"/>
  <c r="J14" i="2" s="1"/>
  <c r="G15" i="2"/>
  <c r="I15" i="2" s="1"/>
  <c r="J15" i="2" s="1"/>
  <c r="D15" i="1" l="1"/>
  <c r="D11" i="1"/>
  <c r="J11" i="1" s="1"/>
  <c r="D7" i="1"/>
  <c r="D14" i="1"/>
  <c r="D10" i="1"/>
  <c r="J10" i="1" s="1"/>
  <c r="D6" i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<sst xmlns="http://schemas.openxmlformats.org/spreadsheetml/2006/main" count="158" uniqueCount="86">
  <si>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</si>
  <si>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</si>
  <si>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</si>
  <si>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</si>
  <si>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</si>
  <si>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</si>
  <si>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</si>
  <si>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</si>
  <si>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</si>
  <si>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</si>
  <si>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</si>
  <si>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</si>
  <si>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</si>
  <si>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</si>
  <si>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</si>
  <si>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</si>
  <si>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</si>
  <si>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</si>
  <si>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</si>
  <si>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</si>
  <si>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</si>
  <si>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</si>
  <si>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</si>
  <si>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</si>
  <si>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</si>
  <si>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</si>
  <si>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</si>
  <si>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</si>
  <si>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</si>
  <si>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</si>
  <si>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</si>
  <si>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</si>
  <si>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</si>
  <si>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</si>
  <si>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</si>
  <si>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</si>
  <si>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</si>
  <si>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</si>
  <si>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</si>
  <si>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</si>
  <si>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</si>
  <si>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</si>
  <si>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</si>
  <si>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</si>
  <si>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</si>
  <si>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</si>
  <si>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</si>
  <si>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</si>
  <si>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</si>
  <si>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</si>
  <si>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</si>
  <si>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</si>
  <si>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</si>
  <si>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</si>
  <si>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</si>
  <si>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</si>
  <si>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</si>
  <si>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</si>
  <si>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</si>
  <si>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</si>
  <si>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</si>
  <si>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</si>
  <si>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</si>
  <si>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</si>
  <si>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</si>
  <si>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</si>
  <si>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</si>
  <si>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</si>
  <si>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</si>
  <si>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</si>
  <si>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</si>
  <si>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</si>
  <si>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</si>
  <si>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</si>
  <si>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</si>
  <si>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</si>
  <si>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</si>
  <si>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</si>
  <si>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</si>
  <si>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</si>
  <si>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ITD Enero 2021</t>
  </si>
  <si>
    <t>3T/2021</t>
  </si>
  <si>
    <t>ITD Julio 2021</t>
  </si>
  <si>
    <t>2015/02</t>
  </si>
  <si>
    <t>PNP 8T/22 (ago21 -ene21)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</si>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</sst>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  <numFmt numFmtId="186" formatCode="_ * #,##0_ ;_ * \-#,##0_ ;_ * \-_ ;_ @_ "/>
    <numFmt numFmtId="187" formatCode="0\ %"/>
    <numFmt numFmtId="188" formatCode="_-* #,##0.00_-;\-* #,##0.00_-;_-* \-??_-;_-@_-"/>
    <numFmt numFmtId="189" formatCode="_-&quot;$ &quot;* #,##0.00_-;&quot;-$ &quot;* #,##0.00_-;_-&quot;$ &quot;* \-??_-;_-@_-"/>
    <numFmt numFmtId="190" formatCode="_-* #,##0.00\ _P_t_s_-;\-* #,##0.00\ _P_t_s_-;_-* &quot;-&quot;??\ _P_t_s_-;_-@_-"/>
  </numFmts>
  <fonts count="92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3" borderId="0" applyNumberFormat="0" applyBorder="0" applyAlignment="0" applyProtection="0"/>
    <xf numFmtId="0" fontId="36" fillId="45" borderId="0" applyNumberFormat="0" applyBorder="0" applyAlignment="0" applyProtection="0"/>
    <xf numFmtId="0" fontId="36" fillId="42" borderId="0" applyNumberFormat="0" applyBorder="0" applyAlignment="0" applyProtection="0"/>
    <xf numFmtId="0" fontId="36" fillId="46" borderId="0" applyNumberFormat="0" applyBorder="0" applyAlignment="0" applyProtection="0"/>
    <xf numFmtId="0" fontId="36" fillId="45" borderId="0" applyNumberFormat="0" applyBorder="0" applyAlignment="0" applyProtection="0"/>
    <xf numFmtId="0" fontId="36" fillId="47" borderId="0" applyNumberFormat="0" applyBorder="0" applyAlignment="0" applyProtection="0"/>
    <xf numFmtId="0" fontId="36" fillId="46" borderId="0" applyNumberFormat="0" applyBorder="0" applyAlignment="0" applyProtection="0"/>
    <xf numFmtId="0" fontId="37" fillId="48" borderId="0" applyNumberFormat="0" applyBorder="0" applyAlignment="0" applyProtection="0"/>
    <xf numFmtId="0" fontId="37" fillId="42" borderId="0" applyNumberFormat="0" applyBorder="0" applyAlignment="0" applyProtection="0"/>
    <xf numFmtId="0" fontId="37" fillId="46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2" borderId="0" applyNumberFormat="0" applyBorder="0" applyAlignment="0" applyProtection="0"/>
    <xf numFmtId="0" fontId="33" fillId="0" borderId="0"/>
    <xf numFmtId="0" fontId="38" fillId="49" borderId="0" applyNumberFormat="0" applyBorder="0" applyAlignment="0" applyProtection="0"/>
    <xf numFmtId="0" fontId="39" fillId="50" borderId="39" applyNumberFormat="0" applyAlignment="0" applyProtection="0"/>
    <xf numFmtId="0" fontId="40" fillId="51" borderId="40" applyNumberFormat="0" applyAlignment="0" applyProtection="0"/>
    <xf numFmtId="0" fontId="41" fillId="0" borderId="41" applyNumberFormat="0" applyFill="0" applyAlignment="0" applyProtection="0"/>
    <xf numFmtId="0" fontId="42" fillId="0" borderId="0" applyNumberFormat="0" applyFill="0" applyBorder="0" applyAlignment="0" applyProtection="0"/>
    <xf numFmtId="0" fontId="37" fillId="48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48" borderId="0" applyNumberFormat="0" applyBorder="0" applyAlignment="0" applyProtection="0"/>
    <xf numFmtId="0" fontId="37" fillId="55" borderId="0" applyNumberFormat="0" applyBorder="0" applyAlignment="0" applyProtection="0"/>
    <xf numFmtId="0" fontId="43" fillId="46" borderId="39" applyNumberFormat="0" applyAlignment="0" applyProtection="0"/>
    <xf numFmtId="175" fontId="33" fillId="0" borderId="0" applyFont="0" applyFill="0" applyBorder="0" applyAlignment="0" applyProtection="0"/>
    <xf numFmtId="0" fontId="44" fillId="56" borderId="0" applyNumberFormat="0" applyBorder="0" applyAlignment="0" applyProtection="0"/>
    <xf numFmtId="0" fontId="45" fillId="46" borderId="0" applyNumberFormat="0" applyBorder="0" applyAlignment="0" applyProtection="0"/>
    <xf numFmtId="0" fontId="32" fillId="43" borderId="42" applyNumberFormat="0" applyFont="0" applyAlignment="0" applyProtection="0"/>
    <xf numFmtId="0" fontId="46" fillId="50" borderId="43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4" applyNumberFormat="0" applyFill="0" applyAlignment="0" applyProtection="0"/>
    <xf numFmtId="0" fontId="51" fillId="0" borderId="45" applyNumberFormat="0" applyFill="0" applyAlignment="0" applyProtection="0"/>
    <xf numFmtId="0" fontId="42" fillId="0" borderId="46" applyNumberFormat="0" applyFill="0" applyAlignment="0" applyProtection="0"/>
    <xf numFmtId="0" fontId="52" fillId="0" borderId="47" applyNumberFormat="0" applyFill="0" applyAlignment="0" applyProtection="0"/>
    <xf numFmtId="0" fontId="32" fillId="0" borderId="0"/>
    <xf numFmtId="9" fontId="32" fillId="0" borderId="0" applyFon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9" fontId="32" fillId="0" borderId="0" applyFont="0" applyFill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9" fillId="50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43" fillId="46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59" fillId="0" borderId="0" applyFont="0" applyFill="0" applyBorder="0" applyAlignment="0" applyProtection="0"/>
    <xf numFmtId="2" fontId="59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59" fillId="0" borderId="0" applyFont="0" applyFill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9" fillId="0" borderId="0" applyFont="0" applyFill="0" applyBorder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46" fillId="50" borderId="43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42" fillId="0" borderId="46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47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3" fillId="0" borderId="0"/>
    <xf numFmtId="0" fontId="65" fillId="0" borderId="0" applyNumberFormat="0" applyFill="0" applyBorder="0" applyAlignment="0" applyProtection="0"/>
    <xf numFmtId="0" fontId="20" fillId="0" borderId="30" applyNumberFormat="0" applyFill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66" fillId="12" borderId="0" applyNumberFormat="0" applyBorder="0" applyAlignment="0" applyProtection="0"/>
    <xf numFmtId="0" fontId="25" fillId="13" borderId="33" applyNumberFormat="0" applyAlignment="0" applyProtection="0"/>
    <xf numFmtId="0" fontId="26" fillId="14" borderId="34" applyNumberFormat="0" applyAlignment="0" applyProtection="0"/>
    <xf numFmtId="0" fontId="27" fillId="14" borderId="33" applyNumberFormat="0" applyAlignment="0" applyProtection="0"/>
    <xf numFmtId="0" fontId="28" fillId="0" borderId="35" applyNumberFormat="0" applyFill="0" applyAlignment="0" applyProtection="0"/>
    <xf numFmtId="0" fontId="29" fillId="15" borderId="36" applyNumberFormat="0" applyAlignment="0" applyProtection="0"/>
    <xf numFmtId="0" fontId="30" fillId="0" borderId="0" applyNumberFormat="0" applyFill="0" applyBorder="0" applyAlignment="0" applyProtection="0"/>
    <xf numFmtId="0" fontId="3" fillId="16" borderId="37" applyNumberFormat="0" applyFont="0" applyAlignment="0" applyProtection="0"/>
    <xf numFmtId="0" fontId="67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3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1" fillId="40" borderId="0" applyNumberFormat="0" applyBorder="0" applyAlignment="0" applyProtection="0"/>
    <xf numFmtId="0" fontId="68" fillId="0" borderId="0"/>
    <xf numFmtId="178" fontId="69" fillId="0" borderId="0" applyFont="0" applyFill="0" applyBorder="0" applyAlignment="0" applyProtection="0"/>
    <xf numFmtId="164" fontId="68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7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3" fillId="0" borderId="0"/>
    <xf numFmtId="0" fontId="3" fillId="16" borderId="37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3" fillId="0" borderId="0"/>
    <xf numFmtId="0" fontId="32" fillId="0" borderId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9" fillId="50" borderId="39" applyNumberFormat="0" applyAlignment="0" applyProtection="0"/>
    <xf numFmtId="0" fontId="55" fillId="45" borderId="39" applyNumberFormat="0" applyAlignment="0" applyProtection="0"/>
    <xf numFmtId="0" fontId="39" fillId="50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43" fillId="46" borderId="39" applyNumberFormat="0" applyAlignment="0" applyProtection="0"/>
    <xf numFmtId="0" fontId="58" fillId="41" borderId="39" applyNumberFormat="0" applyAlignment="0" applyProtection="0"/>
    <xf numFmtId="0" fontId="43" fillId="46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32" fillId="0" borderId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6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8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>
      <alignment wrapText="1"/>
    </xf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46" fillId="50" borderId="43" applyNumberFormat="0" applyAlignment="0" applyProtection="0"/>
    <xf numFmtId="0" fontId="61" fillId="45" borderId="50" applyNumberFormat="0" applyAlignment="0" applyProtection="0"/>
    <xf numFmtId="0" fontId="46" fillId="50" borderId="43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42" fillId="0" borderId="46" applyNumberFormat="0" applyFill="0" applyAlignment="0" applyProtection="0"/>
    <xf numFmtId="0" fontId="42" fillId="0" borderId="46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47" applyNumberFormat="0" applyFill="0" applyAlignment="0" applyProtection="0"/>
    <xf numFmtId="0" fontId="52" fillId="0" borderId="53" applyNumberFormat="0" applyFill="0" applyAlignment="0" applyProtection="0"/>
    <xf numFmtId="0" fontId="52" fillId="0" borderId="47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32" fillId="0" borderId="0"/>
    <xf numFmtId="3" fontId="74" fillId="69" borderId="0">
      <alignment horizontal="left"/>
    </xf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6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3" fontId="75" fillId="57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6" fillId="4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6" fillId="5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6" fillId="44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6" fillId="43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7" fillId="44" borderId="0" applyNumberFormat="0" applyBorder="0" applyAlignment="0" applyProtection="0"/>
    <xf numFmtId="0" fontId="37" fillId="54" borderId="0" applyNumberFormat="0" applyBorder="0" applyAlignment="0" applyProtection="0"/>
    <xf numFmtId="0" fontId="37" fillId="62" borderId="0" applyNumberFormat="0" applyBorder="0" applyAlignment="0" applyProtection="0"/>
    <xf numFmtId="0" fontId="37" fillId="56" borderId="0" applyNumberFormat="0" applyBorder="0" applyAlignment="0" applyProtection="0"/>
    <xf numFmtId="0" fontId="37" fillId="44" borderId="0" applyNumberFormat="0" applyBorder="0" applyAlignment="0" applyProtection="0"/>
    <xf numFmtId="0" fontId="76" fillId="57" borderId="0">
      <alignment horizontal="left"/>
    </xf>
    <xf numFmtId="0" fontId="38" fillId="44" borderId="0" applyNumberFormat="0" applyBorder="0" applyAlignment="0" applyProtection="0"/>
    <xf numFmtId="0" fontId="47" fillId="0" borderId="54" applyNumberFormat="0" applyFill="0" applyAlignment="0" applyProtection="0"/>
    <xf numFmtId="182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62" borderId="0" applyNumberFormat="0" applyBorder="0" applyAlignment="0" applyProtection="0"/>
    <xf numFmtId="0" fontId="37" fillId="70" borderId="0" applyNumberFormat="0" applyBorder="0" applyAlignment="0" applyProtection="0"/>
    <xf numFmtId="0" fontId="37" fillId="52" borderId="0" applyNumberFormat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44" fillId="60" borderId="0" applyNumberFormat="0" applyBorder="0" applyAlignment="0" applyProtection="0"/>
    <xf numFmtId="3" fontId="78" fillId="69" borderId="2">
      <alignment horizontal="center"/>
    </xf>
    <xf numFmtId="0" fontId="79" fillId="4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5" fontId="8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72" fillId="0" borderId="0">
      <alignment wrapText="1"/>
    </xf>
    <xf numFmtId="0" fontId="72" fillId="0" borderId="0">
      <alignment wrapText="1"/>
    </xf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76" fillId="71" borderId="0">
      <alignment horizontal="left"/>
    </xf>
    <xf numFmtId="3" fontId="74" fillId="71" borderId="0">
      <alignment horizontal="left"/>
    </xf>
    <xf numFmtId="3" fontId="81" fillId="71" borderId="0">
      <alignment horizontal="center"/>
    </xf>
    <xf numFmtId="0" fontId="82" fillId="0" borderId="55" applyNumberFormat="0" applyFill="0" applyAlignment="0" applyProtection="0"/>
    <xf numFmtId="0" fontId="83" fillId="0" borderId="56" applyNumberFormat="0" applyFill="0" applyAlignment="0" applyProtection="0"/>
    <xf numFmtId="0" fontId="84" fillId="0" borderId="0" applyNumberFormat="0" applyFill="0" applyBorder="0" applyAlignment="0" applyProtection="0"/>
    <xf numFmtId="0" fontId="46" fillId="0" borderId="57" applyNumberFormat="0" applyFill="0" applyAlignment="0" applyProtection="0"/>
    <xf numFmtId="3" fontId="78" fillId="58" borderId="2">
      <alignment horizontal="center" vertical="center"/>
    </xf>
    <xf numFmtId="3" fontId="85" fillId="71" borderId="0">
      <alignment horizontal="left"/>
    </xf>
    <xf numFmtId="3" fontId="75" fillId="72" borderId="0">
      <alignment horizontal="right"/>
    </xf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0" fillId="0" borderId="30" applyNumberFormat="0" applyFill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3" borderId="33" applyNumberFormat="0" applyAlignment="0" applyProtection="0"/>
    <xf numFmtId="0" fontId="26" fillId="14" borderId="34" applyNumberFormat="0" applyAlignment="0" applyProtection="0"/>
    <xf numFmtId="0" fontId="27" fillId="14" borderId="33" applyNumberFormat="0" applyAlignment="0" applyProtection="0"/>
    <xf numFmtId="0" fontId="28" fillId="0" borderId="35" applyNumberFormat="0" applyFill="0" applyAlignment="0" applyProtection="0"/>
    <xf numFmtId="0" fontId="29" fillId="15" borderId="36" applyNumberFormat="0" applyAlignment="0" applyProtection="0"/>
    <xf numFmtId="0" fontId="30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31" fillId="17" borderId="0" applyNumberFormat="0" applyBorder="0" applyAlignment="0" applyProtection="0"/>
    <xf numFmtId="0" fontId="2" fillId="19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5" borderId="0" applyNumberFormat="0" applyBorder="0" applyAlignment="0" applyProtection="0"/>
    <xf numFmtId="0" fontId="2" fillId="27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31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86" fillId="0" borderId="0"/>
    <xf numFmtId="188" fontId="86" fillId="0" borderId="0" applyBorder="0" applyProtection="0"/>
    <xf numFmtId="189" fontId="86" fillId="0" borderId="0" applyBorder="0" applyProtection="0"/>
    <xf numFmtId="187" fontId="86" fillId="0" borderId="0" applyBorder="0" applyProtection="0"/>
    <xf numFmtId="186" fontId="86" fillId="0" borderId="0" applyBorder="0" applyProtection="0"/>
    <xf numFmtId="41" fontId="86" fillId="0" borderId="0" applyFont="0" applyFill="0" applyBorder="0" applyAlignment="0" applyProtection="0"/>
    <xf numFmtId="180" fontId="86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6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7" fillId="0" borderId="0"/>
    <xf numFmtId="0" fontId="87" fillId="0" borderId="0"/>
    <xf numFmtId="0" fontId="2" fillId="16" borderId="37" applyNumberFormat="0" applyFont="0" applyAlignment="0" applyProtection="0"/>
    <xf numFmtId="173" fontId="2" fillId="0" borderId="0" applyFont="0" applyFill="0" applyBorder="0" applyAlignment="0" applyProtection="0"/>
    <xf numFmtId="0" fontId="66" fillId="12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31" fillId="36" borderId="0" applyNumberFormat="0" applyBorder="0" applyAlignment="0" applyProtection="0"/>
    <xf numFmtId="0" fontId="31" fillId="40" borderId="0" applyNumberFormat="0" applyBorder="0" applyAlignment="0" applyProtection="0"/>
    <xf numFmtId="0" fontId="35" fillId="0" borderId="0"/>
    <xf numFmtId="0" fontId="89" fillId="0" borderId="0"/>
    <xf numFmtId="0" fontId="36" fillId="44" borderId="0" applyNumberFormat="0" applyBorder="0" applyAlignment="0" applyProtection="0"/>
    <xf numFmtId="0" fontId="36" fillId="42" borderId="0" applyNumberFormat="0" applyBorder="0" applyAlignment="0" applyProtection="0"/>
    <xf numFmtId="0" fontId="36" fillId="47" borderId="0" applyNumberFormat="0" applyBorder="0" applyAlignment="0" applyProtection="0"/>
    <xf numFmtId="0" fontId="37" fillId="42" borderId="0" applyNumberFormat="0" applyBorder="0" applyAlignment="0" applyProtection="0"/>
    <xf numFmtId="0" fontId="38" fillId="49" borderId="0" applyNumberFormat="0" applyBorder="0" applyAlignment="0" applyProtection="0"/>
    <xf numFmtId="0" fontId="37" fillId="52" borderId="0" applyNumberFormat="0" applyBorder="0" applyAlignment="0" applyProtection="0"/>
    <xf numFmtId="176" fontId="34" fillId="0" borderId="0" applyFont="0" applyFill="0" applyBorder="0" applyAlignment="0" applyProtection="0"/>
    <xf numFmtId="0" fontId="44" fillId="56" borderId="0" applyNumberFormat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90" fillId="0" borderId="0"/>
    <xf numFmtId="0" fontId="35" fillId="0" borderId="0"/>
    <xf numFmtId="9" fontId="3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5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5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89" fillId="0" borderId="0"/>
    <xf numFmtId="9" fontId="32" fillId="0" borderId="0" applyFont="0" applyFill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2" fillId="0" borderId="0"/>
    <xf numFmtId="0" fontId="36" fillId="44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5" fillId="0" borderId="0"/>
    <xf numFmtId="0" fontId="69" fillId="0" borderId="0"/>
    <xf numFmtId="184" fontId="33" fillId="0" borderId="0" applyFont="0" applyFill="0" applyBorder="0" applyAlignment="0" applyProtection="0"/>
    <xf numFmtId="190" fontId="32" fillId="0" borderId="0" applyFont="0" applyFill="0" applyBorder="0" applyAlignment="0" applyProtection="0"/>
    <xf numFmtId="0" fontId="35" fillId="0" borderId="0"/>
    <xf numFmtId="0" fontId="32" fillId="0" borderId="0" applyFont="0" applyFill="0" applyBorder="0" applyAlignment="0" applyProtection="0"/>
    <xf numFmtId="0" fontId="35" fillId="0" borderId="0"/>
    <xf numFmtId="0" fontId="32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5" fillId="0" borderId="0"/>
    <xf numFmtId="0" fontId="35" fillId="0" borderId="0"/>
    <xf numFmtId="164" fontId="32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8" fillId="18" borderId="0" applyNumberFormat="0" applyBorder="0" applyAlignment="0" applyProtection="0"/>
    <xf numFmtId="164" fontId="2" fillId="0" borderId="0" applyFont="0" applyFill="0" applyBorder="0" applyAlignment="0" applyProtection="0"/>
    <xf numFmtId="0" fontId="88" fillId="26" borderId="0" applyNumberFormat="0" applyBorder="0" applyAlignment="0" applyProtection="0"/>
    <xf numFmtId="164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8" fillId="18" borderId="0" applyNumberFormat="0" applyBorder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88" fillId="26" borderId="0" applyNumberFormat="0" applyBorder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164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41" fontId="2" fillId="0" borderId="0" applyFont="0" applyFill="0" applyBorder="0" applyAlignment="0" applyProtection="0"/>
    <xf numFmtId="0" fontId="88" fillId="18" borderId="0" applyNumberFormat="0" applyBorder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173" fontId="2" fillId="0" borderId="0" applyFont="0" applyFill="0" applyBorder="0" applyAlignment="0" applyProtection="0"/>
    <xf numFmtId="0" fontId="35" fillId="0" borderId="0"/>
    <xf numFmtId="0" fontId="32" fillId="0" borderId="0"/>
    <xf numFmtId="164" fontId="2" fillId="0" borderId="0" applyFont="0" applyFill="0" applyBorder="0" applyAlignment="0" applyProtection="0"/>
    <xf numFmtId="0" fontId="32" fillId="0" borderId="0"/>
    <xf numFmtId="0" fontId="32" fillId="0" borderId="0"/>
    <xf numFmtId="173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16" borderId="37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64" fontId="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3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6" fillId="0" borderId="0"/>
    <xf numFmtId="188" fontId="86" fillId="0" borderId="0" applyBorder="0" applyProtection="0"/>
    <xf numFmtId="41" fontId="86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6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6" borderId="37" applyNumberFormat="0" applyFont="0" applyAlignment="0" applyProtection="0"/>
    <xf numFmtId="17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41" fontId="1" fillId="0" borderId="0" applyFont="0" applyFill="0" applyBorder="0" applyAlignment="0" applyProtection="0"/>
    <xf numFmtId="0" fontId="86" fillId="0" borderId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8" fontId="86" fillId="0" borderId="0" applyBorder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37" applyNumberFormat="0" applyFont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6" fillId="6" borderId="9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0" fontId="7" fillId="7" borderId="1" xfId="0" applyFont="1" applyFill="1" applyBorder="1" applyAlignment="1">
      <alignment horizontal="center"/>
    </xf>
    <xf numFmtId="166" fontId="7" fillId="0" borderId="2" xfId="0" applyNumberFormat="1" applyFont="1" applyBorder="1"/>
    <xf numFmtId="0" fontId="7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8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9" borderId="17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19" xfId="3" applyFont="1" applyFill="1" applyBorder="1" applyAlignment="1">
      <alignment horizontal="center" vertical="center"/>
    </xf>
    <xf numFmtId="0" fontId="13" fillId="9" borderId="20" xfId="3" applyFont="1" applyFill="1" applyBorder="1" applyAlignment="1">
      <alignment horizontal="center" vertical="center"/>
    </xf>
    <xf numFmtId="0" fontId="13" fillId="9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5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9" fillId="6" borderId="2" xfId="0" applyFont="1" applyFill="1" applyBorder="1" applyAlignment="1">
      <alignment horizontal="center" vertical="center" wrapText="1"/>
    </xf>
    <xf numFmtId="0" fontId="18" fillId="0" borderId="0" xfId="0" applyFont="1"/>
    <xf numFmtId="167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71" fontId="7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9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6" fillId="0" borderId="0" xfId="0" applyFont="1" applyBorder="1"/>
    <xf numFmtId="4" fontId="7" fillId="0" borderId="0" xfId="0" applyNumberFormat="1" applyFont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72" fontId="7" fillId="0" borderId="0" xfId="0" applyNumberFormat="1" applyFont="1"/>
    <xf numFmtId="165" fontId="7" fillId="0" borderId="0" xfId="0" applyNumberFormat="1" applyFont="1"/>
    <xf numFmtId="0" fontId="9" fillId="6" borderId="10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5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8" fillId="0" borderId="0" xfId="0" applyNumberFormat="1" applyFont="1"/>
    <xf numFmtId="4" fontId="7" fillId="0" borderId="10" xfId="0" applyNumberFormat="1" applyFont="1" applyBorder="1" applyAlignment="1">
      <alignment horizont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171" fontId="5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9" fillId="6" borderId="16" xfId="0" applyFont="1" applyFill="1" applyBorder="1" applyAlignment="1">
      <alignment horizontal="center" vertical="center" wrapText="1"/>
    </xf>
    <xf numFmtId="171" fontId="7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5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4" fillId="73" borderId="27" xfId="3" applyNumberFormat="1" applyFont="1" applyFill="1" applyBorder="1" applyAlignment="1">
      <alignment horizontal="center"/>
    </xf>
    <xf numFmtId="0" fontId="91" fillId="0" borderId="58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zoomScale="90" zoomScaleNormal="90" workbookViewId="0">
      <selection activeCell="G20" sqref="G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30" t="s">
        <v>17</v>
      </c>
      <c r="J2" s="131"/>
      <c r="K2" s="131"/>
      <c r="L2" s="132"/>
    </row>
    <row r="3" spans="1:15" x14ac:dyDescent="0.25">
      <c r="A3" s="133" t="s">
        <v>15</v>
      </c>
      <c r="B3" s="136" t="s">
        <v>0</v>
      </c>
      <c r="C3" s="138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5" t="s">
        <v>66</v>
      </c>
      <c r="O3" s="135"/>
    </row>
    <row r="4" spans="1:15" ht="14.4" x14ac:dyDescent="0.3">
      <c r="A4" s="134"/>
      <c r="B4" s="137"/>
      <c r="C4" s="139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4995.0672000000004</v>
      </c>
      <c r="E5" s="91">
        <f>ROUND(VLOOKUP($C5,Px!$B$13:$K$16,10,0),3)</f>
        <v>55.469000000000001</v>
      </c>
      <c r="F5" s="54"/>
      <c r="G5" s="7"/>
      <c r="H5" s="120">
        <f>COPELEC!I6/1000</f>
        <v>163.40539122292591</v>
      </c>
      <c r="I5" s="101">
        <f t="shared" ref="I5:I14" si="0">H5*E5*1000</f>
        <v>9063933.6457444765</v>
      </c>
      <c r="J5" s="102">
        <f t="shared" ref="J5:J14" si="1">G5*D5*1000</f>
        <v>0</v>
      </c>
      <c r="K5" s="105">
        <v>26378.874038368947</v>
      </c>
      <c r="L5" s="103">
        <f t="shared" ref="L5:L14" si="2">H5*F5*1000</f>
        <v>0</v>
      </c>
      <c r="N5" s="11" t="str">
        <f>"Active Energy: "&amp;TEXT(H17*1000,"###,###")&amp;" kWh"</f>
        <v>Active Energy: 625,181 kWh</v>
      </c>
      <c r="O5" s="12">
        <f>I17</f>
        <v>35042831.474209577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5470.0513000000001</v>
      </c>
      <c r="E6" s="92">
        <f>ROUND(VLOOKUP($C6,Px!$B$13:$K$16,10,0),3)</f>
        <v>60.978999999999999</v>
      </c>
      <c r="F6" s="55"/>
      <c r="G6" s="9"/>
      <c r="H6" s="121">
        <f>COPELEC!F6/1000</f>
        <v>10.713314834074275</v>
      </c>
      <c r="I6" s="104">
        <f t="shared" si="0"/>
        <v>653287.22526701516</v>
      </c>
      <c r="J6" s="105">
        <f t="shared" si="1"/>
        <v>0</v>
      </c>
      <c r="K6" s="105">
        <v>41567.166765651564</v>
      </c>
      <c r="L6" s="106">
        <f t="shared" si="2"/>
        <v>0</v>
      </c>
      <c r="N6" s="11" t="str">
        <f>"Capacity: "&amp;TEXT(G17*1000,"#,###")&amp;" kW"</f>
        <v>Capacity: 832 kW</v>
      </c>
      <c r="O6" s="12">
        <f>J17</f>
        <v>4207735.1816543611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5683.1925000000001</v>
      </c>
      <c r="E7" s="92">
        <f>ROUND(VLOOKUP($C7,Px!$B$13:$K$16,10,0),3)</f>
        <v>60.826999999999998</v>
      </c>
      <c r="F7" s="55"/>
      <c r="G7" s="9"/>
      <c r="H7" s="121">
        <f>COPELEC!C6/1000</f>
        <v>8.1753486132759061</v>
      </c>
      <c r="I7" s="104">
        <f t="shared" si="0"/>
        <v>497281.93009973352</v>
      </c>
      <c r="J7" s="105">
        <f t="shared" si="1"/>
        <v>0</v>
      </c>
      <c r="K7" s="105">
        <v>22226.47932325735</v>
      </c>
      <c r="L7" s="106">
        <f t="shared" si="2"/>
        <v>0</v>
      </c>
      <c r="N7" s="11" t="s">
        <v>13</v>
      </c>
      <c r="O7" s="12">
        <f>K17</f>
        <v>90172.52012727785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5730.1751999999997</v>
      </c>
      <c r="E8" s="92">
        <f>ROUND(VLOOKUP($C8,Px!$B$13:$K$16,10,0),3)</f>
        <v>61.582000000000001</v>
      </c>
      <c r="F8" s="55"/>
      <c r="G8" s="9"/>
      <c r="H8" s="121">
        <f>COPELEC!L6/1000</f>
        <v>0.59840414419180121</v>
      </c>
      <c r="I8" s="104">
        <f t="shared" ref="I8:I12" si="3">H8*E8*1000</f>
        <v>36850.924007619506</v>
      </c>
      <c r="J8" s="105">
        <f t="shared" ref="J8:J12" si="4">G8*D8*1000</f>
        <v>0</v>
      </c>
      <c r="K8" s="105">
        <v>0</v>
      </c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4995.0672000000004</v>
      </c>
      <c r="E9" s="92">
        <f>ROUND(VLOOKUP($C9,Px!$B$13:$K$16,10,0),3)</f>
        <v>55.469000000000001</v>
      </c>
      <c r="F9" s="55"/>
      <c r="G9" s="9"/>
      <c r="H9" s="121">
        <f>COPELEC!J7/1000</f>
        <v>257.42665563314608</v>
      </c>
      <c r="I9" s="104">
        <f t="shared" si="3"/>
        <v>14279199.161314981</v>
      </c>
      <c r="J9" s="105">
        <f t="shared" si="4"/>
        <v>0</v>
      </c>
      <c r="K9" s="105">
        <v>0</v>
      </c>
      <c r="L9" s="106">
        <f t="shared" si="5"/>
        <v>0</v>
      </c>
      <c r="N9" s="13" t="s">
        <v>12</v>
      </c>
      <c r="O9" s="14">
        <f>SUM(O5:O8)</f>
        <v>39340739.175991222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5470.0513000000001</v>
      </c>
      <c r="E10" s="92">
        <f>ROUND(VLOOKUP($C10,Px!$B$13:$K$16,10,0),3)</f>
        <v>60.978999999999999</v>
      </c>
      <c r="F10" s="55"/>
      <c r="G10" s="9"/>
      <c r="H10" s="121">
        <f>COPELEC!G7/1000</f>
        <v>16.903819153799162</v>
      </c>
      <c r="I10" s="104">
        <f t="shared" si="3"/>
        <v>1030777.9881795191</v>
      </c>
      <c r="J10" s="105">
        <f t="shared" si="4"/>
        <v>0</v>
      </c>
      <c r="K10" s="105">
        <v>0</v>
      </c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5683.1925000000001</v>
      </c>
      <c r="E11" s="92">
        <f>ROUND(VLOOKUP($C11,Px!$B$13:$K$16,10,0),3)</f>
        <v>60.826999999999998</v>
      </c>
      <c r="F11" s="55"/>
      <c r="G11" s="9"/>
      <c r="H11" s="121">
        <f>COPELEC!D7/1000</f>
        <v>12.921731726390144</v>
      </c>
      <c r="I11" s="104">
        <f t="shared" si="3"/>
        <v>785990.17572113324</v>
      </c>
      <c r="J11" s="105">
        <f t="shared" si="4"/>
        <v>0</v>
      </c>
      <c r="K11" s="105">
        <v>0</v>
      </c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5730.1751999999997</v>
      </c>
      <c r="E12" s="92">
        <f>ROUND(VLOOKUP($C12,Px!$B$13:$K$16,10,0),3)</f>
        <v>61.582000000000001</v>
      </c>
      <c r="F12" s="55"/>
      <c r="G12" s="9"/>
      <c r="H12" s="121">
        <f>COPELEC!M7/1000</f>
        <v>0.93954593227292427</v>
      </c>
      <c r="I12" s="104">
        <f t="shared" si="3"/>
        <v>57859.117601231228</v>
      </c>
      <c r="J12" s="105">
        <f t="shared" si="4"/>
        <v>0</v>
      </c>
      <c r="K12" s="105">
        <v>0</v>
      </c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4995.0672000000004</v>
      </c>
      <c r="E13" s="92">
        <f>ROUND(VLOOKUP($C13,Px!$B$13:$K$16,10,0),3)</f>
        <v>55.469000000000001</v>
      </c>
      <c r="F13" s="55"/>
      <c r="G13" s="9">
        <f>COPELEC!V8/1000</f>
        <v>0.7431555551884006</v>
      </c>
      <c r="H13" s="121">
        <f>COPELEC!K8/1000</f>
        <v>137.61216329975767</v>
      </c>
      <c r="I13" s="104">
        <f t="shared" si="0"/>
        <v>7633209.0860742582</v>
      </c>
      <c r="J13" s="105">
        <f t="shared" si="1"/>
        <v>3712111.9382193703</v>
      </c>
      <c r="K13" s="124">
        <v>0</v>
      </c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5470.0513000000001</v>
      </c>
      <c r="E14" s="92">
        <f>ROUND(VLOOKUP($C14,Px!$B$13:$K$16,10,0),3)</f>
        <v>60.978999999999999</v>
      </c>
      <c r="F14" s="55"/>
      <c r="G14" s="9">
        <f>COPELEC!U8/1000</f>
        <v>4.8917336631417896E-2</v>
      </c>
      <c r="H14" s="121">
        <f>COPELEC!H8/1000</f>
        <v>9.0581581066232282</v>
      </c>
      <c r="I14" s="104">
        <f t="shared" si="0"/>
        <v>552357.42318377772</v>
      </c>
      <c r="J14" s="105">
        <f t="shared" si="1"/>
        <v>267580.34083322505</v>
      </c>
      <c r="K14" s="105">
        <v>0</v>
      </c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5683.1925000000001</v>
      </c>
      <c r="E15" s="92">
        <f>ROUND(VLOOKUP($C15,Px!$B$13:$K$16,10,0),3)</f>
        <v>60.826999999999998</v>
      </c>
      <c r="F15" s="55"/>
      <c r="G15" s="9">
        <f>COPELEC!T8/1000</f>
        <v>3.7378862806348168E-2</v>
      </c>
      <c r="H15" s="121">
        <f>COPELEC!E8/1000</f>
        <v>6.9215470927380718</v>
      </c>
      <c r="I15" s="104">
        <f>H15*E15*1000</f>
        <v>421016.94500997866</v>
      </c>
      <c r="J15" s="105">
        <f>G15*D15*1000</f>
        <v>212431.27275956687</v>
      </c>
      <c r="K15" s="105">
        <v>0</v>
      </c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5730.1751999999997</v>
      </c>
      <c r="E16" s="97">
        <f>ROUND(VLOOKUP($C16,Px!$B$13:$K$16,10,0),3)</f>
        <v>61.582000000000001</v>
      </c>
      <c r="F16" s="98"/>
      <c r="G16" s="94">
        <f>COPELEC!W8/1000</f>
        <v>2.7244594270343513E-3</v>
      </c>
      <c r="H16" s="122">
        <f>COPELEC!N8/1000</f>
        <v>0.50449566441250393</v>
      </c>
      <c r="I16" s="99">
        <f>H16*E16*1000</f>
        <v>31067.852005850818</v>
      </c>
      <c r="J16" s="100">
        <f>G16*D16*1000</f>
        <v>15611.629842198448</v>
      </c>
      <c r="K16" s="100">
        <v>0</v>
      </c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0.83217621405320108</v>
      </c>
      <c r="H17" s="123">
        <f t="shared" ref="H17:K17" si="6">SUM(H5:H16)</f>
        <v>625.18057542360759</v>
      </c>
      <c r="I17" s="113">
        <f>SUM(I5:I16)</f>
        <v>35042831.474209577</v>
      </c>
      <c r="J17" s="113">
        <f>SUM(J5:J16)</f>
        <v>4207735.1816543611</v>
      </c>
      <c r="K17" s="113">
        <f t="shared" si="6"/>
        <v>90172.52012727785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topLeftCell="G1" zoomScale="90" zoomScaleNormal="90" workbookViewId="0">
      <selection activeCell="K22" sqref="K22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129" t="s">
        <v>83</v>
      </c>
    </row>
    <row r="3" spans="1:27" ht="15" thickBot="1" x14ac:dyDescent="0.35">
      <c r="A3" s="34" t="s">
        <v>45</v>
      </c>
      <c r="B3" s="34" t="s">
        <v>85</v>
      </c>
      <c r="C3" s="140" t="s">
        <v>46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2"/>
      <c r="P3" s="140" t="s">
        <v>24</v>
      </c>
      <c r="Q3" s="141"/>
      <c r="R3" s="141"/>
      <c r="S3" s="141"/>
      <c r="T3" s="141"/>
      <c r="U3" s="141"/>
      <c r="V3" s="141"/>
      <c r="W3" s="142"/>
      <c r="Z3" s="35"/>
      <c r="AA3" s="36"/>
    </row>
    <row r="4" spans="1:27" ht="15" thickBot="1" x14ac:dyDescent="0.35">
      <c r="C4" s="143" t="s">
        <v>16</v>
      </c>
      <c r="D4" s="143"/>
      <c r="E4" s="143"/>
      <c r="F4" s="143" t="s">
        <v>43</v>
      </c>
      <c r="G4" s="143"/>
      <c r="H4" s="143"/>
      <c r="I4" s="143" t="s">
        <v>42</v>
      </c>
      <c r="J4" s="143"/>
      <c r="K4" s="143"/>
      <c r="L4" s="143" t="s">
        <v>73</v>
      </c>
      <c r="M4" s="143"/>
      <c r="N4" s="143"/>
      <c r="O4" s="144" t="s">
        <v>47</v>
      </c>
      <c r="P4" s="140" t="s">
        <v>48</v>
      </c>
      <c r="Q4" s="141"/>
      <c r="R4" s="141"/>
      <c r="S4" s="142"/>
      <c r="T4" s="140" t="s">
        <v>49</v>
      </c>
      <c r="U4" s="141"/>
      <c r="V4" s="141"/>
      <c r="W4" s="142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5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8175.3486132759053</v>
      </c>
      <c r="D6" s="70">
        <v>0</v>
      </c>
      <c r="E6" s="70">
        <v>0</v>
      </c>
      <c r="F6" s="70">
        <v>10713.314834074275</v>
      </c>
      <c r="G6" s="70">
        <v>0</v>
      </c>
      <c r="H6" s="70">
        <v>0</v>
      </c>
      <c r="I6" s="70">
        <v>163405.39122292591</v>
      </c>
      <c r="J6" s="70">
        <v>0</v>
      </c>
      <c r="K6" s="71">
        <v>0</v>
      </c>
      <c r="L6" s="70">
        <v>598.40414419180127</v>
      </c>
      <c r="M6" s="70">
        <v>0</v>
      </c>
      <c r="N6" s="71">
        <v>0</v>
      </c>
      <c r="O6" s="128">
        <f>SUM(C6:N6)</f>
        <v>182892.45881446789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12921.731726390144</v>
      </c>
      <c r="E7" s="70">
        <v>0</v>
      </c>
      <c r="F7" s="70">
        <v>0</v>
      </c>
      <c r="G7" s="70">
        <v>16903.819153799162</v>
      </c>
      <c r="H7" s="70">
        <v>0</v>
      </c>
      <c r="I7" s="70">
        <v>0</v>
      </c>
      <c r="J7" s="70">
        <v>257426.65563314609</v>
      </c>
      <c r="K7" s="71">
        <v>0</v>
      </c>
      <c r="L7" s="70">
        <v>0</v>
      </c>
      <c r="M7" s="70">
        <v>939.54593227292423</v>
      </c>
      <c r="N7" s="71">
        <v>0</v>
      </c>
      <c r="O7" s="128">
        <f t="shared" ref="O7:O8" si="0">SUM(C7:N7)</f>
        <v>288191.75244560832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6921.547092738072</v>
      </c>
      <c r="F8" s="70">
        <v>0</v>
      </c>
      <c r="G8" s="70">
        <v>0</v>
      </c>
      <c r="H8" s="70">
        <v>9058.1581066232284</v>
      </c>
      <c r="I8" s="70">
        <v>0</v>
      </c>
      <c r="J8" s="70">
        <v>0</v>
      </c>
      <c r="K8" s="71">
        <v>137612.16329975767</v>
      </c>
      <c r="L8" s="70">
        <v>0</v>
      </c>
      <c r="M8" s="70">
        <v>0</v>
      </c>
      <c r="N8" s="71">
        <v>504.49566441250397</v>
      </c>
      <c r="O8" s="128">
        <f t="shared" si="0"/>
        <v>154096.36416353149</v>
      </c>
      <c r="P8" s="47">
        <v>1.0029157103834737E-3</v>
      </c>
      <c r="Q8" s="48">
        <v>7.9980756339040825E-4</v>
      </c>
      <c r="R8" s="48">
        <v>2.3258501742117899E-2</v>
      </c>
      <c r="S8" s="48">
        <v>7.8148708325573852E-5</v>
      </c>
      <c r="T8" s="49">
        <v>37.378862806348167</v>
      </c>
      <c r="U8" s="49">
        <v>48.917336631417896</v>
      </c>
      <c r="V8" s="49">
        <v>743.15555518840063</v>
      </c>
      <c r="W8" s="49">
        <v>2.7244594270343514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tabSelected="1" topLeftCell="A4" zoomScaleNormal="100" workbookViewId="0">
      <selection activeCell="H19" sqref="H19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80</v>
      </c>
      <c r="M4" s="118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  <c r="M5" s="109">
        <v>3.413845058967059</v>
      </c>
    </row>
    <row r="6" spans="1:15" ht="13.8" x14ac:dyDescent="0.3">
      <c r="A6" s="23" t="s">
        <v>26</v>
      </c>
      <c r="B6" s="22"/>
      <c r="C6" s="22">
        <v>743.19</v>
      </c>
      <c r="D6" s="24"/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  <c r="M6" s="109">
        <v>0.93996007442596441</v>
      </c>
    </row>
    <row r="7" spans="1:15" ht="13.8" x14ac:dyDescent="0.3">
      <c r="A7" s="23" t="s">
        <v>27</v>
      </c>
      <c r="B7" s="22"/>
      <c r="C7" s="111">
        <v>260.4785</v>
      </c>
      <c r="D7" s="24" t="s">
        <v>84</v>
      </c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M7" s="110">
        <v>0.83945236799718903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81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0.94830000000000003</v>
      </c>
      <c r="E13" s="61">
        <v>0.87180000000000002</v>
      </c>
      <c r="F13" s="62">
        <f>($C$3*$C$7/$C$8-$M$5)*D13</f>
        <v>79.404124220265217</v>
      </c>
      <c r="G13" s="62">
        <f>$C$4*$C$7/$C$8*E13</f>
        <v>8.0065500318806766</v>
      </c>
      <c r="H13" s="62">
        <f>F13*$C$6/1000</f>
        <v>59.012351079258906</v>
      </c>
      <c r="I13" s="82">
        <f>G13*$C$6</f>
        <v>5950.3879181934008</v>
      </c>
      <c r="J13" s="112">
        <f>I13*$M$7</f>
        <v>4995.0672284293141</v>
      </c>
      <c r="K13" s="63">
        <f>H13*$M$6</f>
        <v>55.469253912511341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1.0425</v>
      </c>
      <c r="E14" s="61">
        <v>0.95469999999999999</v>
      </c>
      <c r="F14" s="62">
        <f>($C$3*$C$7/$C$8-$M$5)*D14</f>
        <v>87.29178477235736</v>
      </c>
      <c r="G14" s="62">
        <f t="shared" ref="G14:G15" si="0">$C$4*$C$7/$C$8*E14</f>
        <v>8.767897815366462</v>
      </c>
      <c r="H14" s="62">
        <f t="shared" ref="H14:H15" si="1">F14*$C$6/1000</f>
        <v>64.874381524968271</v>
      </c>
      <c r="I14" s="82">
        <f t="shared" ref="I14:I15" si="2">G14*$C$6</f>
        <v>6516.2139774022016</v>
      </c>
      <c r="J14" s="112">
        <f t="shared" ref="J14:J16" si="3">I14*$M$7</f>
        <v>5470.0512537066597</v>
      </c>
      <c r="K14" s="63">
        <f t="shared" ref="K14:K16" si="4">H14*$M$6</f>
        <v>60.979328486547587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1.0399</v>
      </c>
      <c r="E15" s="61">
        <v>0.9919</v>
      </c>
      <c r="F15" s="62">
        <f t="shared" ref="F15:F16" si="5">($C$3*$C$7/$C$8-$M$5)*D15</f>
        <v>87.074078642469473</v>
      </c>
      <c r="G15" s="62">
        <f t="shared" si="0"/>
        <v>9.1095400053021827</v>
      </c>
      <c r="H15" s="62">
        <f t="shared" si="1"/>
        <v>64.712584506296892</v>
      </c>
      <c r="I15" s="82">
        <f t="shared" si="2"/>
        <v>6770.11903654053</v>
      </c>
      <c r="J15" s="112">
        <f t="shared" si="3"/>
        <v>5683.1924568467957</v>
      </c>
      <c r="K15" s="63">
        <f t="shared" si="4"/>
        <v>60.827245748835338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1.0528</v>
      </c>
      <c r="E16" s="61">
        <v>1.0001</v>
      </c>
      <c r="F16" s="62">
        <f t="shared" si="5"/>
        <v>88.154235979220942</v>
      </c>
      <c r="G16" s="62">
        <f>$C$4*$C$7/$C$8*E16</f>
        <v>9.1848482299654322</v>
      </c>
      <c r="H16" s="62">
        <f>F16*$C$6/1000</f>
        <v>65.515346637397215</v>
      </c>
      <c r="I16" s="82">
        <f>G16*$C$6</f>
        <v>6826.0873560280097</v>
      </c>
      <c r="J16" s="112">
        <f t="shared" si="3"/>
        <v>5730.1751951733841</v>
      </c>
      <c r="K16" s="63">
        <f t="shared" si="4"/>
        <v>61.581810101330746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2022-02-15T16:00:11Z</dcterms:modified>
</cp:coreProperties>
</file>