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F41DDCE1-EEF7-4A6B-9FD7-3715D7B173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ntos Facturar" sheetId="3" r:id="rId1"/>
    <sheet name="EEPA" sheetId="1" r:id="rId2"/>
    <sheet name="Px_2015_02" sheetId="2" r:id="rId3"/>
    <sheet name="Px_2015_01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" i="3" l="1"/>
  <c r="O16" i="3" l="1"/>
  <c r="O8" i="3"/>
  <c r="D19" i="3" l="1"/>
  <c r="G20" i="3" l="1"/>
  <c r="J20" i="3" s="1"/>
  <c r="G19" i="3"/>
  <c r="J19" i="3" s="1"/>
  <c r="G18" i="3"/>
  <c r="J18" i="3" s="1"/>
  <c r="G17" i="3"/>
  <c r="J17" i="3" s="1"/>
  <c r="I32" i="4"/>
  <c r="D32" i="4" a="1"/>
  <c r="D32" i="4" s="1"/>
  <c r="C32" i="4" a="1"/>
  <c r="C32" i="4" s="1"/>
  <c r="I31" i="4"/>
  <c r="D31" i="4" a="1"/>
  <c r="D31" i="4" s="1"/>
  <c r="C31" i="4" a="1"/>
  <c r="C31" i="4" s="1"/>
  <c r="I30" i="4"/>
  <c r="D30" i="4" a="1"/>
  <c r="D30" i="4" s="1"/>
  <c r="C30" i="4" a="1"/>
  <c r="C30" i="4" s="1"/>
  <c r="I29" i="4"/>
  <c r="D29" i="4" a="1"/>
  <c r="D29" i="4" s="1"/>
  <c r="C29" i="4" a="1"/>
  <c r="C29" i="4" s="1"/>
  <c r="I28" i="4"/>
  <c r="D28" i="4" a="1"/>
  <c r="D28" i="4" s="1"/>
  <c r="F28" i="4" s="1"/>
  <c r="C28" i="4" a="1"/>
  <c r="C28" i="4" s="1"/>
  <c r="I27" i="4"/>
  <c r="D27" i="4" a="1"/>
  <c r="D27" i="4" s="1"/>
  <c r="F27" i="4" s="1"/>
  <c r="C27" i="4" a="1"/>
  <c r="C27" i="4" s="1"/>
  <c r="I26" i="4"/>
  <c r="D26" i="4" a="1"/>
  <c r="D26" i="4" s="1"/>
  <c r="C26" i="4"/>
  <c r="C26" i="4" a="1"/>
  <c r="I25" i="4"/>
  <c r="D25" i="4" a="1"/>
  <c r="D25" i="4" s="1"/>
  <c r="F25" i="4" s="1"/>
  <c r="H25" i="4" s="1"/>
  <c r="C25" i="4" a="1"/>
  <c r="C25" i="4" s="1"/>
  <c r="I24" i="4"/>
  <c r="D24" i="4" a="1"/>
  <c r="D24" i="4" s="1"/>
  <c r="C24" i="4" a="1"/>
  <c r="C24" i="4" s="1"/>
  <c r="I23" i="4"/>
  <c r="D23" i="4" a="1"/>
  <c r="D23" i="4" s="1"/>
  <c r="C23" i="4" a="1"/>
  <c r="C23" i="4" s="1"/>
  <c r="I22" i="4"/>
  <c r="D22" i="4" a="1"/>
  <c r="D22" i="4" s="1"/>
  <c r="C22" i="4" a="1"/>
  <c r="C22" i="4" s="1"/>
  <c r="I21" i="4"/>
  <c r="D21" i="4" a="1"/>
  <c r="D21" i="4" s="1"/>
  <c r="C21" i="4" a="1"/>
  <c r="C21" i="4" s="1"/>
  <c r="I20" i="4"/>
  <c r="D20" i="4" a="1"/>
  <c r="D20" i="4" s="1"/>
  <c r="E20" i="4" s="1"/>
  <c r="C20" i="4" a="1"/>
  <c r="C20" i="4" s="1"/>
  <c r="I19" i="4"/>
  <c r="D19" i="4" a="1"/>
  <c r="D19" i="4" s="1"/>
  <c r="C19" i="4" a="1"/>
  <c r="C19" i="4" s="1"/>
  <c r="I18" i="4"/>
  <c r="D18" i="4" a="1"/>
  <c r="D18" i="4" s="1"/>
  <c r="F18" i="4" s="1"/>
  <c r="C18" i="4" a="1"/>
  <c r="C18" i="4" s="1"/>
  <c r="I17" i="4"/>
  <c r="D17" i="4" a="1"/>
  <c r="D17" i="4" s="1"/>
  <c r="C17" i="4" a="1"/>
  <c r="C17" i="4" s="1"/>
  <c r="I16" i="4"/>
  <c r="D16" i="4" a="1"/>
  <c r="D16" i="4" s="1"/>
  <c r="C16" i="4" a="1"/>
  <c r="C16" i="4" s="1"/>
  <c r="F12" i="4"/>
  <c r="E11" i="4"/>
  <c r="E10" i="4"/>
  <c r="E8" i="4"/>
  <c r="F4" i="4" s="1"/>
  <c r="F7" i="4"/>
  <c r="E7" i="4"/>
  <c r="F6" i="4"/>
  <c r="E6" i="4"/>
  <c r="I5" i="4"/>
  <c r="I4" i="4"/>
  <c r="E4" i="4"/>
  <c r="E3" i="4"/>
  <c r="H27" i="4" l="1"/>
  <c r="H18" i="4"/>
  <c r="K18" i="4" s="1"/>
  <c r="H28" i="4"/>
  <c r="O7" i="3"/>
  <c r="N7" i="3"/>
  <c r="E22" i="4"/>
  <c r="F22" i="4"/>
  <c r="H22" i="4" s="1"/>
  <c r="K22" i="4" s="1"/>
  <c r="F17" i="4"/>
  <c r="H17" i="4" s="1"/>
  <c r="E17" i="4"/>
  <c r="G17" i="4" s="1"/>
  <c r="J17" i="4" s="1"/>
  <c r="F3" i="4"/>
  <c r="E25" i="4"/>
  <c r="F21" i="4"/>
  <c r="H21" i="4" s="1"/>
  <c r="K21" i="4" s="1"/>
  <c r="E21" i="4"/>
  <c r="F29" i="4"/>
  <c r="H29" i="4" s="1"/>
  <c r="K29" i="4" s="1"/>
  <c r="E29" i="4"/>
  <c r="G29" i="4" s="1"/>
  <c r="J29" i="4" s="1"/>
  <c r="F26" i="4"/>
  <c r="H26" i="4" s="1"/>
  <c r="K26" i="4" s="1"/>
  <c r="E26" i="4"/>
  <c r="G26" i="4" s="1"/>
  <c r="J26" i="4" s="1"/>
  <c r="E23" i="4"/>
  <c r="G23" i="4" s="1"/>
  <c r="J23" i="4" s="1"/>
  <c r="F23" i="4"/>
  <c r="H23" i="4" s="1"/>
  <c r="K23" i="4" s="1"/>
  <c r="F16" i="4"/>
  <c r="H16" i="4" s="1"/>
  <c r="K16" i="4" s="1"/>
  <c r="E16" i="4"/>
  <c r="F31" i="4"/>
  <c r="H31" i="4" s="1"/>
  <c r="K31" i="4" s="1"/>
  <c r="E31" i="4"/>
  <c r="G31" i="4" s="1"/>
  <c r="J31" i="4" s="1"/>
  <c r="K27" i="4"/>
  <c r="E30" i="4"/>
  <c r="G30" i="4" s="1"/>
  <c r="J30" i="4" s="1"/>
  <c r="F30" i="4"/>
  <c r="H30" i="4" s="1"/>
  <c r="K30" i="4" s="1"/>
  <c r="E19" i="4"/>
  <c r="F19" i="4"/>
  <c r="H19" i="4" s="1"/>
  <c r="K19" i="4" s="1"/>
  <c r="F24" i="4"/>
  <c r="H24" i="4" s="1"/>
  <c r="K24" i="4" s="1"/>
  <c r="E24" i="4"/>
  <c r="G24" i="4" s="1"/>
  <c r="J24" i="4" s="1"/>
  <c r="F32" i="4"/>
  <c r="H32" i="4" s="1"/>
  <c r="K32" i="4" s="1"/>
  <c r="E32" i="4"/>
  <c r="G32" i="4" s="1"/>
  <c r="J32" i="4" s="1"/>
  <c r="G22" i="4"/>
  <c r="J22" i="4" s="1"/>
  <c r="E28" i="4"/>
  <c r="G28" i="4" s="1"/>
  <c r="J28" i="4" s="1"/>
  <c r="G25" i="4"/>
  <c r="G19" i="4"/>
  <c r="J19" i="4" s="1"/>
  <c r="E18" i="4"/>
  <c r="G18" i="4" s="1"/>
  <c r="J18" i="4" s="1"/>
  <c r="J25" i="4"/>
  <c r="G16" i="4"/>
  <c r="J16" i="4" s="1"/>
  <c r="G21" i="4"/>
  <c r="J21" i="4" s="1"/>
  <c r="K25" i="4"/>
  <c r="E27" i="4"/>
  <c r="G27" i="4" s="1"/>
  <c r="J27" i="4" s="1"/>
  <c r="F20" i="4"/>
  <c r="H20" i="4" s="1"/>
  <c r="K20" i="4" s="1"/>
  <c r="G20" i="4"/>
  <c r="J20" i="4" s="1"/>
  <c r="K28" i="4"/>
  <c r="K17" i="4"/>
  <c r="D18" i="3" l="1"/>
  <c r="E18" i="3"/>
  <c r="E19" i="3"/>
  <c r="D20" i="3"/>
  <c r="E20" i="3"/>
  <c r="E17" i="3"/>
  <c r="D17" i="3"/>
  <c r="K21" i="3" l="1"/>
  <c r="H20" i="3"/>
  <c r="I20" i="3" s="1"/>
  <c r="H19" i="3"/>
  <c r="I19" i="3" s="1"/>
  <c r="H18" i="3"/>
  <c r="I18" i="3" s="1"/>
  <c r="H17" i="3"/>
  <c r="I17" i="3" s="1"/>
  <c r="H16" i="3"/>
  <c r="I16" i="3" s="1"/>
  <c r="H15" i="3"/>
  <c r="I15" i="3" s="1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H6" i="3"/>
  <c r="I6" i="3" s="1"/>
  <c r="H5" i="3"/>
  <c r="I5" i="3" s="1"/>
  <c r="G16" i="3"/>
  <c r="J16" i="3" s="1"/>
  <c r="G15" i="3"/>
  <c r="J15" i="3" s="1"/>
  <c r="G14" i="3"/>
  <c r="J14" i="3" s="1"/>
  <c r="G13" i="3"/>
  <c r="J13" i="3" s="1"/>
  <c r="G12" i="3"/>
  <c r="J12" i="3" s="1"/>
  <c r="G11" i="3"/>
  <c r="J11" i="3" s="1"/>
  <c r="G10" i="3"/>
  <c r="J10" i="3" s="1"/>
  <c r="G9" i="3"/>
  <c r="J9" i="3" s="1"/>
  <c r="G8" i="3"/>
  <c r="J8" i="3" s="1"/>
  <c r="G7" i="3"/>
  <c r="J7" i="3" s="1"/>
  <c r="G6" i="3"/>
  <c r="J6" i="3" s="1"/>
  <c r="G5" i="3"/>
  <c r="E6" i="3"/>
  <c r="E7" i="3"/>
  <c r="E8" i="3"/>
  <c r="E9" i="3"/>
  <c r="E10" i="3"/>
  <c r="E11" i="3"/>
  <c r="E12" i="3"/>
  <c r="E13" i="3"/>
  <c r="E14" i="3"/>
  <c r="E15" i="3"/>
  <c r="E16" i="3"/>
  <c r="E5" i="3"/>
  <c r="D5" i="3"/>
  <c r="D6" i="3"/>
  <c r="D7" i="3"/>
  <c r="D8" i="3"/>
  <c r="D9" i="3"/>
  <c r="D10" i="3"/>
  <c r="D11" i="3"/>
  <c r="D12" i="3"/>
  <c r="D13" i="3"/>
  <c r="D14" i="3"/>
  <c r="D15" i="3"/>
  <c r="D16" i="3"/>
  <c r="I21" i="3" l="1"/>
  <c r="J5" i="3"/>
  <c r="O15" i="3" s="1"/>
  <c r="N15" i="3"/>
  <c r="G21" i="3"/>
  <c r="O14" i="3"/>
  <c r="N14" i="3"/>
  <c r="H21" i="3"/>
  <c r="O6" i="3"/>
  <c r="O10" i="3" s="1"/>
  <c r="N6" i="3"/>
  <c r="J21" i="3"/>
  <c r="O18" i="3" l="1"/>
  <c r="J2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<sst xmlns="http://schemas.openxmlformats.org/spreadsheetml/2006/main" count="230" uniqueCount="93">
  <si>
    <t>ENERGÍA CET $/KWH</t>
  </si>
  <si>
    <t>VALORIZACIÓN CET $</t>
  </si>
  <si>
    <t>Nombre Suministrador</t>
  </si>
  <si>
    <t>Cod Licitación</t>
  </si>
  <si>
    <t>QUILLOTA 220</t>
  </si>
  <si>
    <t>POLPAICO 220</t>
  </si>
  <si>
    <t>CERRO NAVIA 220</t>
  </si>
  <si>
    <t>CHENA 220</t>
  </si>
  <si>
    <t>ALTO JAHUEL 220</t>
  </si>
  <si>
    <t>TOTAL [kWh]</t>
  </si>
  <si>
    <t>TOTAL [kW]</t>
  </si>
  <si>
    <t>AELA GENERACIÓN S.A.</t>
  </si>
  <si>
    <t>SIC 2015 01</t>
  </si>
  <si>
    <t>SIC 2015 01_BS3_BB_EEPA_AELA GENERACIÓN S.A.</t>
  </si>
  <si>
    <t>SIC 2015 02</t>
  </si>
  <si>
    <t>SIC 2015 02_4-A_BB_EEPA_AELA GENERACIÓN S.A.</t>
  </si>
  <si>
    <t>SIC 2015 02_4-B_BB_EEPA_AELA GENERACIÓN S.A.</t>
  </si>
  <si>
    <t>SIC 2015 02_4-C_BB_EEPA_AELA GENERACIÓN S.A.</t>
  </si>
  <si>
    <t>Concepto</t>
  </si>
  <si>
    <t>Valor</t>
  </si>
  <si>
    <t>Fuente</t>
  </si>
  <si>
    <t>Energia</t>
  </si>
  <si>
    <t>US$/MWh</t>
  </si>
  <si>
    <t>PPA Licitación 2015/02</t>
  </si>
  <si>
    <t>Factor de ajuste</t>
  </si>
  <si>
    <t>Potencia</t>
  </si>
  <si>
    <t>US$/kW/mes</t>
  </si>
  <si>
    <t>Energía</t>
  </si>
  <si>
    <t>TC</t>
  </si>
  <si>
    <t>8T Julio 2021</t>
  </si>
  <si>
    <t>CPI</t>
  </si>
  <si>
    <t>Licitación</t>
  </si>
  <si>
    <t>2015/02</t>
  </si>
  <si>
    <t>¿Se acoge a CET?</t>
  </si>
  <si>
    <t>SI</t>
  </si>
  <si>
    <t>CPI_0 Licitación</t>
  </si>
  <si>
    <t>CPI_0 CET</t>
  </si>
  <si>
    <t>Factores modulación</t>
  </si>
  <si>
    <t>3T S1/2021</t>
  </si>
  <si>
    <t>Distribuidora</t>
  </si>
  <si>
    <t>Punto Compra</t>
  </si>
  <si>
    <t>Fmodulacion E</t>
  </si>
  <si>
    <t>Fmodulacion P</t>
  </si>
  <si>
    <t>Energia indexada [US$/MWh]</t>
  </si>
  <si>
    <t>Potencia indexada [US$/kWh]</t>
  </si>
  <si>
    <t>CET Indexado modulado [US$/MWh]</t>
  </si>
  <si>
    <t>Energia [$/kWh]</t>
  </si>
  <si>
    <t>Potencia [$/kWh]</t>
  </si>
  <si>
    <t>EEPA</t>
  </si>
  <si>
    <t>Factura</t>
  </si>
  <si>
    <t>Dx.</t>
  </si>
  <si>
    <t>Bloque</t>
  </si>
  <si>
    <t>Barra</t>
  </si>
  <si>
    <t>PRECIO POTENCIA</t>
  </si>
  <si>
    <t>PRECIO ENERGÍA</t>
  </si>
  <si>
    <t>AAT</t>
  </si>
  <si>
    <t>POTENCIA</t>
  </si>
  <si>
    <t>ENERGIA</t>
  </si>
  <si>
    <t>ENERGÍA</t>
  </si>
  <si>
    <t>REACTIVO</t>
  </si>
  <si>
    <t>[$/kW/mes]</t>
  </si>
  <si>
    <t>[$/kWh]</t>
  </si>
  <si>
    <t>[$/KWh]</t>
  </si>
  <si>
    <t xml:space="preserve">[MW] </t>
  </si>
  <si>
    <t>[MWh]</t>
  </si>
  <si>
    <t>[$]</t>
  </si>
  <si>
    <t>Alto Jahuel 220</t>
  </si>
  <si>
    <t>Cerro Navia 220</t>
  </si>
  <si>
    <t>Chena 220</t>
  </si>
  <si>
    <t>Polpaico 220</t>
  </si>
  <si>
    <t>Total</t>
  </si>
  <si>
    <t>ENERGIA EN KWH</t>
  </si>
  <si>
    <t>POTENCIA EN KW</t>
  </si>
  <si>
    <t>ENERGÍA $</t>
  </si>
  <si>
    <t>POTENCIA $</t>
  </si>
  <si>
    <t>CONTRATO</t>
  </si>
  <si>
    <t>TOTAL [$]</t>
  </si>
  <si>
    <t>TOTAL CET $</t>
  </si>
  <si>
    <t>TOTAL $ kWh</t>
  </si>
  <si>
    <t>TOTAL $ kW</t>
  </si>
  <si>
    <t>TOTAL MONETARIO</t>
  </si>
  <si>
    <t>NO</t>
  </si>
  <si>
    <t>BS3</t>
  </si>
  <si>
    <t>BS4A</t>
  </si>
  <si>
    <t>BS4B</t>
  </si>
  <si>
    <t>BS4C</t>
  </si>
  <si>
    <t>Total EEPA</t>
  </si>
  <si>
    <t>Diferencia</t>
  </si>
  <si>
    <t>Facturación con Factor de Ajuste</t>
  </si>
  <si>
    <t>2015/01</t>
  </si>
  <si>
    <t>Conceptos</t>
  </si>
  <si>
    <t>Reactive Energy</t>
  </si>
  <si>
    <t xml:space="preserve">Licitacion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</si>
</sst>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64" formatCode="0.0000"/>
    <numFmt numFmtId="165" formatCode="0.000"/>
    <numFmt numFmtId="166" formatCode="#,##0.000"/>
    <numFmt numFmtId="167" formatCode="_-* #,##0_-;\-* #,##0_-;_-* &quot;-&quot;_-;_-@_-"/>
    <numFmt numFmtId="168" formatCode="#,##0_ ;\-#,##0\ "/>
    <numFmt numFmtId="169" formatCode="#,##0.0"/>
    <numFmt numFmtId="170" formatCode="_ * #,##0.000_ ;_ * \-#,##0.000_ ;_ * &quot;-&quot;_ ;_ @_ "/>
    <numFmt numFmtId="171" formatCode="#,##0.0000"/>
    <numFmt numFmtId="172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0" fontId="9" fillId="0" borderId="0"/>
  </cellStyleXfs>
  <cellXfs count="150">
    <xf numFmtId="0" fontId="0" fillId="0" borderId="0" xfId="0"/>
    <xf numFmtId="0" fontId="2" fillId="0" borderId="0" xfId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0" borderId="11" xfId="0" applyFont="1" applyBorder="1"/>
    <xf numFmtId="0" fontId="5" fillId="0" borderId="0" xfId="0" applyFont="1"/>
    <xf numFmtId="0" fontId="5" fillId="0" borderId="12" xfId="0" applyFont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0" fillId="0" borderId="11" xfId="0" applyBorder="1"/>
    <xf numFmtId="165" fontId="0" fillId="0" borderId="12" xfId="0" applyNumberFormat="1" applyBorder="1"/>
    <xf numFmtId="0" fontId="0" fillId="0" borderId="13" xfId="0" applyBorder="1"/>
    <xf numFmtId="165" fontId="0" fillId="0" borderId="15" xfId="0" applyNumberFormat="1" applyBorder="1"/>
    <xf numFmtId="165" fontId="6" fillId="0" borderId="0" xfId="0" applyNumberFormat="1" applyFont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5" fillId="0" borderId="0" xfId="0" applyNumberFormat="1" applyFont="1"/>
    <xf numFmtId="165" fontId="5" fillId="0" borderId="14" xfId="0" applyNumberFormat="1" applyFont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4" fontId="8" fillId="0" borderId="0" xfId="0" applyNumberFormat="1" applyFont="1" applyAlignment="1">
      <alignment horizontal="center"/>
    </xf>
    <xf numFmtId="0" fontId="0" fillId="0" borderId="14" xfId="0" applyBorder="1" applyAlignment="1">
      <alignment vertical="center"/>
    </xf>
    <xf numFmtId="0" fontId="8" fillId="0" borderId="14" xfId="0" applyFont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165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2" xfId="0" applyBorder="1"/>
    <xf numFmtId="165" fontId="0" fillId="0" borderId="12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7" xfId="0" applyBorder="1"/>
    <xf numFmtId="3" fontId="1" fillId="6" borderId="14" xfId="0" applyNumberFormat="1" applyFont="1" applyFill="1" applyBorder="1" applyAlignment="1">
      <alignment horizontal="center" vertical="center"/>
    </xf>
    <xf numFmtId="3" fontId="1" fillId="6" borderId="18" xfId="0" applyNumberFormat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2" fillId="2" borderId="21" xfId="1" applyFill="1" applyBorder="1" applyAlignment="1">
      <alignment horizontal="center" vertical="center" wrapText="1"/>
    </xf>
    <xf numFmtId="0" fontId="2" fillId="2" borderId="23" xfId="1" applyFill="1" applyBorder="1" applyAlignment="1">
      <alignment horizontal="center" vertical="center" wrapText="1"/>
    </xf>
    <xf numFmtId="0" fontId="2" fillId="2" borderId="24" xfId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2" borderId="25" xfId="1" applyFill="1" applyBorder="1" applyAlignment="1">
      <alignment horizontal="center" vertical="center" wrapText="1"/>
    </xf>
    <xf numFmtId="0" fontId="2" fillId="2" borderId="26" xfId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168" fontId="2" fillId="0" borderId="27" xfId="2" applyNumberFormat="1" applyFont="1" applyFill="1" applyBorder="1"/>
    <xf numFmtId="168" fontId="2" fillId="0" borderId="28" xfId="2" applyNumberFormat="1" applyFont="1" applyFill="1" applyBorder="1"/>
    <xf numFmtId="168" fontId="2" fillId="0" borderId="29" xfId="2" applyNumberFormat="1" applyFont="1" applyFill="1" applyBorder="1"/>
    <xf numFmtId="3" fontId="2" fillId="0" borderId="27" xfId="1" applyNumberFormat="1" applyBorder="1"/>
    <xf numFmtId="3" fontId="2" fillId="0" borderId="28" xfId="1" applyNumberFormat="1" applyBorder="1"/>
    <xf numFmtId="3" fontId="2" fillId="0" borderId="29" xfId="1" applyNumberFormat="1" applyBorder="1"/>
    <xf numFmtId="3" fontId="3" fillId="0" borderId="30" xfId="1" applyNumberFormat="1" applyFont="1" applyBorder="1"/>
    <xf numFmtId="4" fontId="2" fillId="0" borderId="27" xfId="1" applyNumberFormat="1" applyBorder="1"/>
    <xf numFmtId="4" fontId="2" fillId="0" borderId="28" xfId="1" applyNumberFormat="1" applyBorder="1"/>
    <xf numFmtId="4" fontId="2" fillId="0" borderId="29" xfId="1" applyNumberFormat="1" applyBorder="1"/>
    <xf numFmtId="169" fontId="3" fillId="0" borderId="30" xfId="1" applyNumberFormat="1" applyFont="1" applyBorder="1"/>
    <xf numFmtId="3" fontId="3" fillId="0" borderId="31" xfId="1" applyNumberFormat="1" applyFont="1" applyBorder="1"/>
    <xf numFmtId="3" fontId="2" fillId="0" borderId="32" xfId="1" applyNumberFormat="1" applyBorder="1"/>
    <xf numFmtId="170" fontId="0" fillId="0" borderId="27" xfId="2" applyNumberFormat="1" applyFont="1" applyFill="1" applyBorder="1"/>
    <xf numFmtId="170" fontId="0" fillId="0" borderId="28" xfId="2" applyNumberFormat="1" applyFont="1" applyFill="1" applyBorder="1"/>
    <xf numFmtId="170" fontId="0" fillId="0" borderId="33" xfId="2" applyNumberFormat="1" applyFont="1" applyFill="1" applyBorder="1"/>
    <xf numFmtId="41" fontId="0" fillId="0" borderId="27" xfId="2" applyNumberFormat="1" applyFont="1" applyFill="1" applyBorder="1"/>
    <xf numFmtId="41" fontId="0" fillId="0" borderId="28" xfId="2" applyNumberFormat="1" applyFont="1" applyFill="1" applyBorder="1"/>
    <xf numFmtId="41" fontId="0" fillId="0" borderId="29" xfId="2" applyNumberFormat="1" applyFont="1" applyFill="1" applyBorder="1"/>
    <xf numFmtId="41" fontId="3" fillId="0" borderId="30" xfId="2" applyNumberFormat="1" applyFont="1" applyFill="1" applyBorder="1"/>
    <xf numFmtId="168" fontId="2" fillId="7" borderId="32" xfId="2" applyNumberFormat="1" applyFont="1" applyFill="1" applyBorder="1"/>
    <xf numFmtId="168" fontId="2" fillId="7" borderId="28" xfId="2" applyNumberFormat="1" applyFont="1" applyFill="1" applyBorder="1"/>
    <xf numFmtId="168" fontId="2" fillId="7" borderId="33" xfId="2" applyNumberFormat="1" applyFont="1" applyFill="1" applyBorder="1"/>
    <xf numFmtId="168" fontId="2" fillId="0" borderId="34" xfId="2" applyNumberFormat="1" applyFont="1" applyFill="1" applyBorder="1"/>
    <xf numFmtId="168" fontId="2" fillId="0" borderId="35" xfId="2" applyNumberFormat="1" applyFont="1" applyFill="1" applyBorder="1"/>
    <xf numFmtId="168" fontId="2" fillId="0" borderId="36" xfId="2" applyNumberFormat="1" applyFont="1" applyFill="1" applyBorder="1"/>
    <xf numFmtId="3" fontId="2" fillId="0" borderId="34" xfId="1" applyNumberFormat="1" applyBorder="1"/>
    <xf numFmtId="3" fontId="2" fillId="0" borderId="35" xfId="1" applyNumberFormat="1" applyBorder="1"/>
    <xf numFmtId="3" fontId="2" fillId="0" borderId="36" xfId="1" applyNumberFormat="1" applyBorder="1"/>
    <xf numFmtId="4" fontId="2" fillId="0" borderId="34" xfId="1" applyNumberFormat="1" applyBorder="1"/>
    <xf numFmtId="4" fontId="2" fillId="0" borderId="35" xfId="1" applyNumberFormat="1" applyBorder="1"/>
    <xf numFmtId="4" fontId="2" fillId="0" borderId="36" xfId="1" applyNumberFormat="1" applyBorder="1"/>
    <xf numFmtId="169" fontId="3" fillId="0" borderId="31" xfId="1" applyNumberFormat="1" applyFont="1" applyBorder="1"/>
    <xf numFmtId="3" fontId="2" fillId="0" borderId="37" xfId="1" applyNumberFormat="1" applyBorder="1"/>
    <xf numFmtId="170" fontId="0" fillId="0" borderId="34" xfId="2" applyNumberFormat="1" applyFont="1" applyFill="1" applyBorder="1"/>
    <xf numFmtId="170" fontId="0" fillId="0" borderId="35" xfId="2" applyNumberFormat="1" applyFont="1" applyFill="1" applyBorder="1"/>
    <xf numFmtId="170" fontId="0" fillId="0" borderId="38" xfId="2" applyNumberFormat="1" applyFont="1" applyFill="1" applyBorder="1"/>
    <xf numFmtId="41" fontId="0" fillId="0" borderId="34" xfId="2" applyNumberFormat="1" applyFont="1" applyFill="1" applyBorder="1"/>
    <xf numFmtId="41" fontId="0" fillId="0" borderId="35" xfId="2" applyNumberFormat="1" applyFont="1" applyFill="1" applyBorder="1"/>
    <xf numFmtId="41" fontId="0" fillId="0" borderId="36" xfId="2" applyNumberFormat="1" applyFont="1" applyFill="1" applyBorder="1"/>
    <xf numFmtId="41" fontId="3" fillId="0" borderId="31" xfId="2" applyNumberFormat="1" applyFont="1" applyFill="1" applyBorder="1"/>
    <xf numFmtId="168" fontId="2" fillId="0" borderId="37" xfId="2" applyNumberFormat="1" applyFont="1" applyFill="1" applyBorder="1"/>
    <xf numFmtId="168" fontId="2" fillId="0" borderId="38" xfId="2" applyNumberFormat="1" applyFont="1" applyFill="1" applyBorder="1"/>
    <xf numFmtId="0" fontId="1" fillId="0" borderId="18" xfId="0" applyFont="1" applyBorder="1" applyAlignment="1">
      <alignment horizontal="center"/>
    </xf>
    <xf numFmtId="0" fontId="1" fillId="6" borderId="4" xfId="0" applyFont="1" applyFill="1" applyBorder="1" applyAlignment="1">
      <alignment horizontal="right"/>
    </xf>
    <xf numFmtId="3" fontId="1" fillId="6" borderId="17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5" borderId="0" xfId="0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/>
    </xf>
    <xf numFmtId="166" fontId="1" fillId="6" borderId="18" xfId="0" applyNumberFormat="1" applyFont="1" applyFill="1" applyBorder="1" applyAlignment="1">
      <alignment horizontal="center" vertical="center"/>
    </xf>
    <xf numFmtId="166" fontId="1" fillId="6" borderId="17" xfId="0" applyNumberFormat="1" applyFont="1" applyFill="1" applyBorder="1" applyAlignment="1">
      <alignment horizontal="center" vertical="center"/>
    </xf>
    <xf numFmtId="171" fontId="0" fillId="0" borderId="9" xfId="0" applyNumberFormat="1" applyBorder="1" applyAlignment="1">
      <alignment horizontal="center" vertical="center"/>
    </xf>
    <xf numFmtId="171" fontId="0" fillId="0" borderId="0" xfId="0" applyNumberFormat="1" applyBorder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center"/>
    </xf>
    <xf numFmtId="0" fontId="1" fillId="0" borderId="14" xfId="3" applyFont="1" applyBorder="1" applyAlignment="1">
      <alignment horizontal="center"/>
    </xf>
    <xf numFmtId="0" fontId="9" fillId="0" borderId="0" xfId="3" applyAlignment="1">
      <alignment horizontal="right"/>
    </xf>
    <xf numFmtId="0" fontId="8" fillId="0" borderId="17" xfId="3" applyFont="1" applyBorder="1" applyAlignment="1">
      <alignment horizontal="right"/>
    </xf>
    <xf numFmtId="172" fontId="9" fillId="0" borderId="0" xfId="3" applyNumberFormat="1"/>
    <xf numFmtId="172" fontId="8" fillId="0" borderId="17" xfId="3" applyNumberFormat="1" applyFont="1" applyBorder="1"/>
    <xf numFmtId="0" fontId="0" fillId="7" borderId="0" xfId="0" applyFill="1"/>
    <xf numFmtId="3" fontId="0" fillId="7" borderId="0" xfId="0" applyNumberFormat="1" applyFill="1"/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8" fillId="8" borderId="14" xfId="3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19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</cellXfs>
  <cellStyles count="4">
    <cellStyle name="Millares [0] 2" xfId="2" xr:uid="{28736FC6-DD2D-4F21-ADE8-4CDD324FFCF7}"/>
    <cellStyle name="Normal" xfId="0" builtinId="0"/>
    <cellStyle name="Normal 12" xfId="1" xr:uid="{5D1B28FC-DC4E-4065-B524-509742A1B798}"/>
    <cellStyle name="Normal 3" xfId="3" xr:uid="{9C7B9C33-7E00-4059-A952-CD39CBC0FCAA}"/>
  </cellStyles>
  <dxfs count="11">
    <dxf>
      <numFmt numFmtId="165" formatCode="0.000"/>
    </dxf>
    <dxf>
      <numFmt numFmtId="165" formatCode="0.000"/>
    </dxf>
    <dxf>
      <numFmt numFmtId="165" formatCode="0.000"/>
    </dxf>
    <dxf>
      <numFmt numFmtId="164" formatCode="0.0000"/>
    </dxf>
    <dxf>
      <numFmt numFmtId="165" formatCode="0.000"/>
    </dxf>
    <dxf>
      <numFmt numFmtId="164" formatCode="0.0000"/>
    </dxf>
    <dxf>
      <numFmt numFmtId="164" formatCode="0.0000"/>
    </dxf>
    <dxf>
      <numFmt numFmtId="0" formatCode="General"/>
    </dxf>
    <dxf>
      <numFmt numFmtId="0" formatCode="General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inzunza\Desktop\Facturacion%20Distribuidoras\2015-01\PNPS12022-PNCPS22021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es de modulación"/>
      <sheetName val="CPI"/>
      <sheetName val="PNP"/>
      <sheetName val="Licitación"/>
      <sheetName val="Distribuidoras"/>
      <sheetName val="CET"/>
      <sheetName val="Resultados"/>
      <sheetName val="PNPS12022-PNCPS22021_V2"/>
    </sheetNames>
    <sheetDataSet>
      <sheetData sheetId="0">
        <row r="3">
          <cell r="I3" t="str">
            <v>S2/2021</v>
          </cell>
        </row>
      </sheetData>
      <sheetData sheetId="1" refreshError="1"/>
      <sheetData sheetId="2">
        <row r="5">
          <cell r="C5">
            <v>44562</v>
          </cell>
        </row>
        <row r="8">
          <cell r="C8">
            <v>268.14</v>
          </cell>
        </row>
        <row r="9">
          <cell r="C9">
            <v>744.1</v>
          </cell>
        </row>
        <row r="15">
          <cell r="C15">
            <v>1</v>
          </cell>
        </row>
        <row r="16">
          <cell r="C16">
            <v>1</v>
          </cell>
        </row>
      </sheetData>
      <sheetData sheetId="3">
        <row r="3">
          <cell r="C3" t="str">
            <v>2015/01</v>
          </cell>
        </row>
        <row r="5">
          <cell r="C5">
            <v>46.65</v>
          </cell>
        </row>
        <row r="6">
          <cell r="C6">
            <v>8.3592999999999993</v>
          </cell>
        </row>
        <row r="7">
          <cell r="C7">
            <v>237.547</v>
          </cell>
        </row>
      </sheetData>
      <sheetData sheetId="4"/>
      <sheetData sheetId="5">
        <row r="5">
          <cell r="G5">
            <v>248.35900000000001</v>
          </cell>
        </row>
      </sheetData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5C2CB2-81BE-4A18-8EE3-F51070FE816B}" name="Resultados" displayName="Resultados" ref="C15:K36" totalsRowShown="0" headerRowDxfId="10" headerRowBorderDxfId="9">
  <autoFilter ref="C15:K36" xr:uid="{505C2CB2-81BE-4A18-8EE3-F51070FE816B}"/>
  <tableColumns count="9">
    <tableColumn id="1" xr3:uid="{B9715FA1-E5AE-4C99-8433-89B8D5450A86}" name="Distribuidora" dataDxfId="8">
      <calculatedColumnFormula array="1">INDEX([1]!Ptos_compra[Distribuidora],ROW()-ROW(Resultados[[#Headers],[Distribuidora]]))</calculatedColumnFormula>
    </tableColumn>
    <tableColumn id="2" xr3:uid="{C207B859-D479-41C0-9785-69D4DBF17E72}" name="Punto Compra" dataDxfId="7">
      <calculatedColumnFormula array="1">INDEX([1]!Ptos_compra[Barra de compra],ROW()-ROW(Resultados[[#Headers],[Punto Compra]]))</calculatedColumnFormula>
    </tableColumn>
    <tableColumn id="3" xr3:uid="{12E6F9FB-730C-481D-8ED3-42BECEC87C7F}" name="Fmodulacion E" dataDxfId="6">
      <calculatedColumnFormula>+VLOOKUP(Resultados[[#This Row],[Punto Compra]],[1]!Factormod[#Data],5,FALSE)</calculatedColumnFormula>
    </tableColumn>
    <tableColumn id="4" xr3:uid="{9C87351F-D67E-4BDD-83A9-D50C2DAF9E74}" name="Fmodulacion P" dataDxfId="5">
      <calculatedColumnFormula>+VLOOKUP(Resultados[[#This Row],[Punto Compra]],[1]!Factormod[#Data],4,FALSE)</calculatedColumnFormula>
    </tableColumn>
    <tableColumn id="5" xr3:uid="{6B7D83C7-DB29-4629-97B3-96C4567B9095}" name="Energia indexada [US$/MWh]" dataDxfId="4">
      <calculatedColumnFormula>ROUND($E$3*$E$7/$E$10*Resultados[[#This Row],[Fmodulacion E]],3)</calculatedColumnFormula>
    </tableColumn>
    <tableColumn id="6" xr3:uid="{D1EA3FBB-5D90-4155-94C3-B253274F5F66}" name="Potencia indexada [US$/kWh]" dataDxfId="3">
      <calculatedColumnFormula>ROUND(F16*$E$4*$E$7/$E$10,4)</calculatedColumnFormula>
    </tableColumn>
    <tableColumn id="7" xr3:uid="{4DCEAA98-2D4B-4EB3-9FE3-4AA2189DC95C}" name="CET Indexado modulado [US$/MWh]" dataDxfId="2">
      <calculatedColumnFormula>+IF($E$9="SI",ROUND(SUMIFS([1]!CET[CET_0 '[US$/MWh']],[1]!CET[LICITACION],$E$8,[1]!CET[Distribuidora],Resultados[[#This Row],[Distribuidora]])*Resultados[[#This Row],[Fmodulacion E]]*$E$7/$E$11,3),0)</calculatedColumnFormula>
    </tableColumn>
    <tableColumn id="8" xr3:uid="{9B8EDE97-E798-4CCB-96DE-CE32CFE80EA8}" name="Energia [$/kWh]" dataDxfId="1">
      <calculatedColumnFormula>+ROUND($E$6*(Resultados[[#This Row],[Energia indexada '[US$/MWh']]]-Resultados[[#This Row],[CET Indexado modulado '[US$/MWh']]])*$I$4/1000,3)</calculatedColumnFormula>
    </tableColumn>
    <tableColumn id="9" xr3:uid="{5FF26311-9C8E-406C-B86E-4C57C6F40F0B}" name="Potencia [$/kWh]" dataDxfId="0">
      <calculatedColumnFormula>ROUND($E$6*$I$5*Resultados[[#This Row],[Potencia indexada '[US$/kWh']]],3)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82A1-3632-4301-89A1-F57981F41F65}">
  <dimension ref="A2:O25"/>
  <sheetViews>
    <sheetView tabSelected="1" workbookViewId="0">
      <selection activeCell="J24" sqref="J24"/>
    </sheetView>
  </sheetViews>
  <sheetFormatPr baseColWidth="10" defaultRowHeight="14.4" x14ac:dyDescent="0.3"/>
  <cols>
    <col min="1" max="1" width="7" bestFit="1" customWidth="1"/>
    <col min="3" max="3" width="14.109375" bestFit="1" customWidth="1"/>
    <col min="14" max="14" width="28.33203125" bestFit="1" customWidth="1"/>
  </cols>
  <sheetData>
    <row r="2" spans="1:15" x14ac:dyDescent="0.3">
      <c r="A2" s="26"/>
      <c r="B2" s="26"/>
      <c r="D2" s="27"/>
      <c r="E2" s="26"/>
      <c r="F2" s="28"/>
      <c r="G2" s="28"/>
      <c r="H2" s="29"/>
      <c r="I2" s="128" t="s">
        <v>49</v>
      </c>
      <c r="J2" s="129"/>
      <c r="K2" s="129"/>
      <c r="L2" s="130"/>
    </row>
    <row r="3" spans="1:15" x14ac:dyDescent="0.3">
      <c r="A3" s="131" t="s">
        <v>50</v>
      </c>
      <c r="B3" s="133" t="s">
        <v>51</v>
      </c>
      <c r="C3" s="135" t="s">
        <v>52</v>
      </c>
      <c r="D3" s="30" t="s">
        <v>53</v>
      </c>
      <c r="E3" s="31" t="s">
        <v>54</v>
      </c>
      <c r="F3" s="32" t="s">
        <v>55</v>
      </c>
      <c r="G3" s="33" t="s">
        <v>56</v>
      </c>
      <c r="H3" s="32" t="s">
        <v>57</v>
      </c>
      <c r="I3" s="34" t="s">
        <v>58</v>
      </c>
      <c r="J3" s="33" t="s">
        <v>56</v>
      </c>
      <c r="K3" s="33" t="s">
        <v>59</v>
      </c>
      <c r="L3" s="32" t="s">
        <v>55</v>
      </c>
      <c r="N3" s="137" t="s">
        <v>88</v>
      </c>
      <c r="O3" s="137"/>
    </row>
    <row r="4" spans="1:15" x14ac:dyDescent="0.3">
      <c r="A4" s="132"/>
      <c r="B4" s="134"/>
      <c r="C4" s="136"/>
      <c r="D4" s="34" t="s">
        <v>60</v>
      </c>
      <c r="E4" s="32" t="s">
        <v>61</v>
      </c>
      <c r="F4" s="35" t="s">
        <v>62</v>
      </c>
      <c r="G4" s="36" t="s">
        <v>63</v>
      </c>
      <c r="H4" s="35" t="s">
        <v>64</v>
      </c>
      <c r="I4" s="34" t="s">
        <v>65</v>
      </c>
      <c r="J4" s="110" t="s">
        <v>65</v>
      </c>
      <c r="K4" s="36" t="s">
        <v>65</v>
      </c>
      <c r="L4" s="35" t="s">
        <v>65</v>
      </c>
      <c r="N4" s="120" t="s">
        <v>31</v>
      </c>
      <c r="O4" s="120" t="s">
        <v>89</v>
      </c>
    </row>
    <row r="5" spans="1:15" x14ac:dyDescent="0.3">
      <c r="A5" t="s">
        <v>48</v>
      </c>
      <c r="B5" s="37" t="s">
        <v>83</v>
      </c>
      <c r="C5" s="38" t="s">
        <v>69</v>
      </c>
      <c r="D5" s="117">
        <f>VLOOKUP(C5,Px_2015_02!$D$17:$K$20,8,FALSE)</f>
        <v>5729.6131999999998</v>
      </c>
      <c r="E5" s="39">
        <f>VLOOKUP(C5,Px_2015_02!$D$17:$K$20,7,FALSE)</f>
        <v>58.966000000000001</v>
      </c>
      <c r="F5" s="39"/>
      <c r="G5" s="25">
        <f>(+EEPA!L5)/1000</f>
        <v>0</v>
      </c>
      <c r="H5" s="25">
        <f>(+EEPA!F5)/1000</f>
        <v>3.0690504165301857</v>
      </c>
      <c r="I5" s="41">
        <f>+E5*H5*1000</f>
        <v>180969.62686111894</v>
      </c>
      <c r="J5" s="42">
        <f>+D5*G5*1000</f>
        <v>0</v>
      </c>
      <c r="K5" s="43">
        <v>0</v>
      </c>
      <c r="L5" s="40"/>
      <c r="N5" s="121" t="s">
        <v>90</v>
      </c>
      <c r="O5" s="121" t="s">
        <v>48</v>
      </c>
    </row>
    <row r="6" spans="1:15" x14ac:dyDescent="0.3">
      <c r="A6" t="s">
        <v>48</v>
      </c>
      <c r="B6" t="s">
        <v>83</v>
      </c>
      <c r="C6" s="44" t="s">
        <v>67</v>
      </c>
      <c r="D6" s="118">
        <f>VLOOKUP(C6,Px_2015_02!$D$17:$K$20,8,FALSE)</f>
        <v>5787.4822999999997</v>
      </c>
      <c r="E6" s="45">
        <f>VLOOKUP(C6,Px_2015_02!$D$17:$K$20,7,FALSE)</f>
        <v>59.732999999999997</v>
      </c>
      <c r="F6" s="45"/>
      <c r="G6" s="25">
        <f>(+EEPA!M5)/1000</f>
        <v>0</v>
      </c>
      <c r="H6" s="25">
        <f>(+EEPA!G5)/1000</f>
        <v>7.7128244761404519</v>
      </c>
      <c r="I6" s="47">
        <f t="shared" ref="I6:I20" si="0">+E6*H6*1000</f>
        <v>460710.14443329762</v>
      </c>
      <c r="J6" s="111">
        <f t="shared" ref="J6:J20" si="1">+D6*G6*1000</f>
        <v>0</v>
      </c>
      <c r="K6" s="43">
        <v>0</v>
      </c>
      <c r="L6" s="46"/>
      <c r="N6" s="122" t="str">
        <f>+"Active Energy:  "&amp;ROUND(SUM(H17:H20)*1000,0)&amp;" kWh"</f>
        <v>Active Energy:  13631 kWh</v>
      </c>
      <c r="O6" s="124">
        <f>+SUM(I17:I20)</f>
        <v>555383.35156232421</v>
      </c>
    </row>
    <row r="7" spans="1:15" x14ac:dyDescent="0.3">
      <c r="A7" t="s">
        <v>48</v>
      </c>
      <c r="B7" t="s">
        <v>83</v>
      </c>
      <c r="C7" s="44" t="s">
        <v>68</v>
      </c>
      <c r="D7" s="118">
        <f>VLOOKUP(C7,Px_2015_02!$D$17:$K$20,8,FALSE)</f>
        <v>5793.2120000000004</v>
      </c>
      <c r="E7" s="45">
        <f>VLOOKUP(C7,Px_2015_02!$D$17:$K$20,7,FALSE)</f>
        <v>59.774000000000001</v>
      </c>
      <c r="F7" s="45"/>
      <c r="G7" s="25">
        <f>(+EEPA!N5)/1000</f>
        <v>0</v>
      </c>
      <c r="H7" s="25">
        <f>(+EEPA!H5)/1000</f>
        <v>10.389282233406558</v>
      </c>
      <c r="I7" s="47">
        <f t="shared" si="0"/>
        <v>621008.95621964359</v>
      </c>
      <c r="J7" s="111">
        <f t="shared" si="1"/>
        <v>0</v>
      </c>
      <c r="K7" s="43">
        <v>0</v>
      </c>
      <c r="L7" s="46"/>
      <c r="N7" s="122" t="str">
        <f>+"Capacity:  "&amp;ROUND(SUM(G17:G20)*1000,0)&amp;" kW"</f>
        <v>Capacity:  35 kW</v>
      </c>
      <c r="O7" s="124">
        <f>+SUM(J17:J20)</f>
        <v>245469.50265989377</v>
      </c>
    </row>
    <row r="8" spans="1:15" x14ac:dyDescent="0.3">
      <c r="A8" t="s">
        <v>48</v>
      </c>
      <c r="B8" t="s">
        <v>83</v>
      </c>
      <c r="C8" s="44" t="s">
        <v>66</v>
      </c>
      <c r="D8" s="118">
        <f>VLOOKUP(C8,Px_2015_02!$D$17:$K$20,8,FALSE)</f>
        <v>5683.2033000000001</v>
      </c>
      <c r="E8" s="45">
        <f>VLOOKUP(C8,Px_2015_02!$D$17:$K$20,7,FALSE)</f>
        <v>61.319000000000003</v>
      </c>
      <c r="F8" s="45"/>
      <c r="G8" s="25">
        <f>(+EEPA!O5)/1000</f>
        <v>0</v>
      </c>
      <c r="H8" s="25">
        <f>(+EEPA!I5)/1000</f>
        <v>18.253311887841157</v>
      </c>
      <c r="I8" s="47">
        <f t="shared" si="0"/>
        <v>1119274.8316505319</v>
      </c>
      <c r="J8" s="111">
        <f t="shared" si="1"/>
        <v>0</v>
      </c>
      <c r="K8" s="43">
        <v>0</v>
      </c>
      <c r="L8" s="46"/>
      <c r="N8" s="122" t="s">
        <v>91</v>
      </c>
      <c r="O8" s="124">
        <f>+SUM(K17:K20)</f>
        <v>0</v>
      </c>
    </row>
    <row r="9" spans="1:15" x14ac:dyDescent="0.3">
      <c r="A9" t="s">
        <v>48</v>
      </c>
      <c r="B9" t="s">
        <v>84</v>
      </c>
      <c r="C9" s="44" t="s">
        <v>69</v>
      </c>
      <c r="D9" s="118">
        <f>VLOOKUP(C9,Px_2015_02!$D$17:$K$20,8,FALSE)</f>
        <v>5729.6131999999998</v>
      </c>
      <c r="E9" s="45">
        <f>VLOOKUP(C9,Px_2015_02!$D$17:$K$20,7,FALSE)</f>
        <v>58.966000000000001</v>
      </c>
      <c r="F9" s="45"/>
      <c r="G9" s="25">
        <f>(+EEPA!L6)/1000</f>
        <v>0</v>
      </c>
      <c r="H9" s="25">
        <f>(+EEPA!F6)/1000</f>
        <v>3.0690657619868742</v>
      </c>
      <c r="I9" s="47">
        <f t="shared" si="0"/>
        <v>180970.53172131802</v>
      </c>
      <c r="J9" s="111">
        <f t="shared" si="1"/>
        <v>0</v>
      </c>
      <c r="K9" s="43">
        <v>0</v>
      </c>
      <c r="L9" s="46"/>
      <c r="N9" s="122" t="s">
        <v>55</v>
      </c>
      <c r="O9" s="124">
        <v>0</v>
      </c>
    </row>
    <row r="10" spans="1:15" x14ac:dyDescent="0.3">
      <c r="A10" t="s">
        <v>48</v>
      </c>
      <c r="B10" t="s">
        <v>84</v>
      </c>
      <c r="C10" s="44" t="s">
        <v>67</v>
      </c>
      <c r="D10" s="118">
        <f>VLOOKUP(C10,Px_2015_02!$D$17:$K$20,8,FALSE)</f>
        <v>5787.4822999999997</v>
      </c>
      <c r="E10" s="45">
        <f>VLOOKUP(C10,Px_2015_02!$D$17:$K$20,7,FALSE)</f>
        <v>59.732999999999997</v>
      </c>
      <c r="F10" s="45"/>
      <c r="G10" s="25">
        <f>(+EEPA!M6)/1000</f>
        <v>0</v>
      </c>
      <c r="H10" s="25">
        <f>(+EEPA!G6)/1000</f>
        <v>7.7128630407770284</v>
      </c>
      <c r="I10" s="47">
        <f t="shared" si="0"/>
        <v>460712.4480147342</v>
      </c>
      <c r="J10" s="111">
        <f t="shared" si="1"/>
        <v>0</v>
      </c>
      <c r="K10" s="43">
        <v>0</v>
      </c>
      <c r="L10" s="46"/>
      <c r="N10" s="123" t="s">
        <v>70</v>
      </c>
      <c r="O10" s="125">
        <f>+SUM(O6:O9)</f>
        <v>800852.85422221804</v>
      </c>
    </row>
    <row r="11" spans="1:15" x14ac:dyDescent="0.3">
      <c r="A11" t="s">
        <v>48</v>
      </c>
      <c r="B11" t="s">
        <v>84</v>
      </c>
      <c r="C11" s="44" t="s">
        <v>68</v>
      </c>
      <c r="D11" s="118">
        <f>VLOOKUP(C11,Px_2015_02!$D$17:$K$20,8,FALSE)</f>
        <v>5793.2120000000004</v>
      </c>
      <c r="E11" s="45">
        <f>VLOOKUP(C11,Px_2015_02!$D$17:$K$20,7,FALSE)</f>
        <v>59.774000000000001</v>
      </c>
      <c r="F11" s="45"/>
      <c r="G11" s="25">
        <f>(+EEPA!N6)/1000</f>
        <v>0</v>
      </c>
      <c r="H11" s="25">
        <f>(+EEPA!H6)/1000</f>
        <v>10.389334180510355</v>
      </c>
      <c r="I11" s="47">
        <f t="shared" si="0"/>
        <v>621012.06130582606</v>
      </c>
      <c r="J11" s="111">
        <f t="shared" si="1"/>
        <v>0</v>
      </c>
      <c r="K11" s="43">
        <v>0</v>
      </c>
      <c r="L11" s="46"/>
    </row>
    <row r="12" spans="1:15" x14ac:dyDescent="0.3">
      <c r="A12" t="s">
        <v>48</v>
      </c>
      <c r="B12" t="s">
        <v>84</v>
      </c>
      <c r="C12" s="44" t="s">
        <v>66</v>
      </c>
      <c r="D12" s="118">
        <f>VLOOKUP(C12,Px_2015_02!$D$17:$K$20,8,FALSE)</f>
        <v>5683.2033000000001</v>
      </c>
      <c r="E12" s="45">
        <f>VLOOKUP(C12,Px_2015_02!$D$17:$K$20,7,FALSE)</f>
        <v>61.319000000000003</v>
      </c>
      <c r="F12" s="45"/>
      <c r="G12" s="25">
        <f>(+EEPA!O6)/1000</f>
        <v>0</v>
      </c>
      <c r="H12" s="25">
        <f>(+EEPA!I6)/1000</f>
        <v>18.253403155617502</v>
      </c>
      <c r="I12" s="47">
        <f t="shared" si="0"/>
        <v>1119280.4280993096</v>
      </c>
      <c r="J12" s="111">
        <f t="shared" si="1"/>
        <v>0</v>
      </c>
      <c r="K12" s="43">
        <v>0</v>
      </c>
      <c r="L12" s="46"/>
      <c r="N12" s="122" t="s">
        <v>92</v>
      </c>
      <c r="O12" t="s">
        <v>32</v>
      </c>
    </row>
    <row r="13" spans="1:15" x14ac:dyDescent="0.3">
      <c r="A13" t="s">
        <v>48</v>
      </c>
      <c r="B13" t="s">
        <v>85</v>
      </c>
      <c r="C13" s="44" t="s">
        <v>69</v>
      </c>
      <c r="D13" s="118">
        <f>VLOOKUP(C13,Px_2015_02!$D$17:$K$20,8,FALSE)</f>
        <v>5729.6131999999998</v>
      </c>
      <c r="E13" s="45">
        <f>VLOOKUP(C13,Px_2015_02!$D$17:$K$20,7,FALSE)</f>
        <v>58.966000000000001</v>
      </c>
      <c r="F13" s="45"/>
      <c r="G13" s="25">
        <f>(+EEPA!L7)/1000</f>
        <v>7.8600795847299596E-3</v>
      </c>
      <c r="H13" s="25">
        <f>(+EEPA!F7)/1000</f>
        <v>3.0690811074435635</v>
      </c>
      <c r="I13" s="47">
        <f t="shared" si="0"/>
        <v>180971.43658151716</v>
      </c>
      <c r="J13" s="111">
        <f t="shared" si="1"/>
        <v>45035.215741719294</v>
      </c>
      <c r="K13" s="43">
        <v>0</v>
      </c>
      <c r="L13" s="46"/>
      <c r="N13" s="121" t="s">
        <v>90</v>
      </c>
      <c r="O13" s="121" t="s">
        <v>48</v>
      </c>
    </row>
    <row r="14" spans="1:15" x14ac:dyDescent="0.3">
      <c r="A14" t="s">
        <v>48</v>
      </c>
      <c r="B14" t="s">
        <v>85</v>
      </c>
      <c r="C14" s="44" t="s">
        <v>67</v>
      </c>
      <c r="D14" s="118">
        <f>VLOOKUP(C14,Px_2015_02!$D$17:$K$20,8,FALSE)</f>
        <v>5787.4822999999997</v>
      </c>
      <c r="E14" s="45">
        <f>VLOOKUP(C14,Px_2015_02!$D$17:$K$20,7,FALSE)</f>
        <v>59.732999999999997</v>
      </c>
      <c r="F14" s="45"/>
      <c r="G14" s="25">
        <f>(+EEPA!M7)/1000</f>
        <v>1.9753150316134883E-2</v>
      </c>
      <c r="H14" s="25">
        <f>(+EEPA!G7)/1000</f>
        <v>7.7129016054136068</v>
      </c>
      <c r="I14" s="47">
        <f t="shared" si="0"/>
        <v>460714.75159617094</v>
      </c>
      <c r="J14" s="111">
        <f t="shared" si="1"/>
        <v>114321.00782387004</v>
      </c>
      <c r="K14" s="43">
        <v>0</v>
      </c>
      <c r="L14" s="46"/>
      <c r="N14" s="122" t="str">
        <f>+"Active Energy:  "&amp;ROUND(SUM(H5:H16)*1000,0)&amp;" kWh"</f>
        <v>Active Energy:  118274 kWh</v>
      </c>
      <c r="O14" s="124">
        <f>+SUM(I5:I16)</f>
        <v>7145926.4074235642</v>
      </c>
    </row>
    <row r="15" spans="1:15" x14ac:dyDescent="0.3">
      <c r="A15" t="s">
        <v>48</v>
      </c>
      <c r="B15" t="s">
        <v>85</v>
      </c>
      <c r="C15" s="44" t="s">
        <v>68</v>
      </c>
      <c r="D15" s="118">
        <f>VLOOKUP(C15,Px_2015_02!$D$17:$K$20,8,FALSE)</f>
        <v>5793.2120000000004</v>
      </c>
      <c r="E15" s="45">
        <f>VLOOKUP(C15,Px_2015_02!$D$17:$K$20,7,FALSE)</f>
        <v>59.774000000000001</v>
      </c>
      <c r="F15" s="45"/>
      <c r="G15" s="25">
        <f>(+EEPA!N7)/1000</f>
        <v>2.660776921192471E-2</v>
      </c>
      <c r="H15" s="25">
        <f>(+EEPA!H7)/1000</f>
        <v>10.389386127614152</v>
      </c>
      <c r="I15" s="47">
        <f t="shared" si="0"/>
        <v>621015.16639200842</v>
      </c>
      <c r="J15" s="111">
        <f t="shared" si="1"/>
        <v>154144.44789175279</v>
      </c>
      <c r="K15" s="43">
        <v>0</v>
      </c>
      <c r="L15" s="46"/>
      <c r="N15" s="122" t="str">
        <f>+"Capacity:  "&amp;ROUND(SUM(G5:G16)*1000,0)&amp;" kW"</f>
        <v>Capacity:  101 kW</v>
      </c>
      <c r="O15" s="124">
        <f>+SUM(J5:J16)</f>
        <v>579180.01345745136</v>
      </c>
    </row>
    <row r="16" spans="1:15" x14ac:dyDescent="0.3">
      <c r="A16" t="s">
        <v>48</v>
      </c>
      <c r="B16" t="s">
        <v>85</v>
      </c>
      <c r="C16" s="44" t="s">
        <v>66</v>
      </c>
      <c r="D16" s="118">
        <f>VLOOKUP(C16,Px_2015_02!$D$17:$K$20,8,FALSE)</f>
        <v>5683.2033000000001</v>
      </c>
      <c r="E16" s="45">
        <f>VLOOKUP(C16,Px_2015_02!$D$17:$K$20,7,FALSE)</f>
        <v>61.319000000000003</v>
      </c>
      <c r="F16" s="45"/>
      <c r="G16" s="25">
        <f>(+EEPA!O7)/1000</f>
        <v>4.6748167886253383E-2</v>
      </c>
      <c r="H16" s="25">
        <f>(+EEPA!I7)/1000</f>
        <v>18.253494423393846</v>
      </c>
      <c r="I16" s="47">
        <f t="shared" si="0"/>
        <v>1119286.0245480873</v>
      </c>
      <c r="J16" s="111">
        <f t="shared" si="1"/>
        <v>265679.34200010926</v>
      </c>
      <c r="K16" s="43">
        <v>0</v>
      </c>
      <c r="L16" s="46"/>
      <c r="N16" s="122" t="s">
        <v>91</v>
      </c>
      <c r="O16" s="124">
        <f>+SUM(K5:K20)</f>
        <v>0</v>
      </c>
    </row>
    <row r="17" spans="1:15" x14ac:dyDescent="0.3">
      <c r="A17" t="s">
        <v>48</v>
      </c>
      <c r="B17" t="s">
        <v>82</v>
      </c>
      <c r="C17" s="44" t="s">
        <v>69</v>
      </c>
      <c r="D17" s="118">
        <f>VLOOKUP(C17,Px_2015_01!$D$33:$K$36,8,FALSE)</f>
        <v>7021.2312000000002</v>
      </c>
      <c r="E17" s="45">
        <f>VLOOKUP(C17,Px_2015_01!$D$33:$K$36,7,FALSE)</f>
        <v>39.183</v>
      </c>
      <c r="F17" s="45"/>
      <c r="G17" s="25">
        <f>EEPA!L4/1000</f>
        <v>2.7176846962875521E-3</v>
      </c>
      <c r="H17" s="25">
        <f>(+EEPA!F4)/1000</f>
        <v>1.061159071921939</v>
      </c>
      <c r="I17" s="47">
        <f t="shared" si="0"/>
        <v>41579.39591511734</v>
      </c>
      <c r="J17" s="111">
        <f t="shared" si="1"/>
        <v>19081.492581336686</v>
      </c>
      <c r="K17" s="43">
        <v>0</v>
      </c>
      <c r="L17" s="46"/>
      <c r="N17" s="122" t="s">
        <v>55</v>
      </c>
      <c r="O17" s="124">
        <v>0</v>
      </c>
    </row>
    <row r="18" spans="1:15" x14ac:dyDescent="0.3">
      <c r="A18" t="s">
        <v>48</v>
      </c>
      <c r="B18" t="s">
        <v>82</v>
      </c>
      <c r="C18" s="44" t="s">
        <v>67</v>
      </c>
      <c r="D18" s="118">
        <f>VLOOKUP(C18,Px_2015_01!$D$33:$K$36,8,FALSE)</f>
        <v>7101.2731999999996</v>
      </c>
      <c r="E18" s="45">
        <f>VLOOKUP(C18,Px_2015_01!$D$33:$K$36,7,FALSE)</f>
        <v>39.661000000000001</v>
      </c>
      <c r="F18" s="45"/>
      <c r="G18" s="25">
        <f>+EEPA!M4/1000</f>
        <v>6.8298079859037087E-3</v>
      </c>
      <c r="H18" s="25">
        <f>(+EEPA!G4)/1000</f>
        <v>2.6667967456368178</v>
      </c>
      <c r="I18" s="47">
        <f t="shared" si="0"/>
        <v>105767.82572870184</v>
      </c>
      <c r="J18" s="111">
        <f t="shared" si="1"/>
        <v>48500.332411443982</v>
      </c>
      <c r="K18" s="43">
        <v>0</v>
      </c>
      <c r="L18" s="46"/>
      <c r="N18" s="123" t="s">
        <v>70</v>
      </c>
      <c r="O18" s="125">
        <f>+SUM(O14:O17)</f>
        <v>7725106.4208810152</v>
      </c>
    </row>
    <row r="19" spans="1:15" x14ac:dyDescent="0.3">
      <c r="A19" t="s">
        <v>48</v>
      </c>
      <c r="B19" t="s">
        <v>82</v>
      </c>
      <c r="C19" s="44" t="s">
        <v>68</v>
      </c>
      <c r="D19" s="118">
        <f>VLOOKUP(C19,Px_2015_01!$D$33:$K$36,8,FALSE)</f>
        <v>7111.1028999999999</v>
      </c>
      <c r="E19" s="45">
        <f>VLOOKUP(C19,Px_2015_01!$D$33:$K$36,7,FALSE)</f>
        <v>39.673000000000002</v>
      </c>
      <c r="F19" s="45"/>
      <c r="G19" s="25">
        <f>+EEPA!N4/1000</f>
        <v>9.1998466949470732E-3</v>
      </c>
      <c r="H19" s="25">
        <f>(+EEPA!H4)/1000</f>
        <v>3.5922124424404553</v>
      </c>
      <c r="I19" s="47">
        <f t="shared" si="0"/>
        <v>142513.8442289402</v>
      </c>
      <c r="J19" s="111">
        <f t="shared" si="1"/>
        <v>65421.056511993542</v>
      </c>
      <c r="K19" s="43">
        <v>0</v>
      </c>
      <c r="L19" s="46"/>
    </row>
    <row r="20" spans="1:15" x14ac:dyDescent="0.3">
      <c r="A20" t="s">
        <v>48</v>
      </c>
      <c r="B20" t="s">
        <v>82</v>
      </c>
      <c r="C20" s="109" t="s">
        <v>66</v>
      </c>
      <c r="D20" s="118">
        <f>VLOOKUP(C20,Px_2015_01!$D$33:$K$36,8,FALSE)</f>
        <v>6958.0401000000002</v>
      </c>
      <c r="E20" s="45">
        <f>VLOOKUP(C20,Px_2015_01!$D$33:$K$36,7,FALSE)</f>
        <v>42.070999999999998</v>
      </c>
      <c r="F20" s="45"/>
      <c r="G20" s="25">
        <f>+EEPA!O4/1000</f>
        <v>1.6163548864157818E-2</v>
      </c>
      <c r="H20" s="25">
        <f>(+EEPA!I4)/1000</f>
        <v>6.3112900974439601</v>
      </c>
      <c r="I20" s="113">
        <f t="shared" si="0"/>
        <v>265522.28568956483</v>
      </c>
      <c r="J20" s="112">
        <f t="shared" si="1"/>
        <v>112466.62115511956</v>
      </c>
      <c r="K20" s="43">
        <v>0</v>
      </c>
      <c r="L20" s="46"/>
    </row>
    <row r="21" spans="1:15" x14ac:dyDescent="0.3">
      <c r="A21" s="48"/>
      <c r="B21" s="48"/>
      <c r="C21" s="108"/>
      <c r="D21" s="48"/>
      <c r="E21" s="105"/>
      <c r="F21" s="106" t="s">
        <v>70</v>
      </c>
      <c r="G21" s="116">
        <f>+SUM(G5:G20)</f>
        <v>0.13588005524033908</v>
      </c>
      <c r="H21" s="115">
        <f>+SUM(H5:H20)</f>
        <v>131.90545677411845</v>
      </c>
      <c r="I21" s="49">
        <f>+SUM(I5:I20)</f>
        <v>7701309.7589858873</v>
      </c>
      <c r="J21" s="49">
        <f>+SUM(J5:J20)</f>
        <v>824649.51611734508</v>
      </c>
      <c r="K21" s="107">
        <f>+SUM(K5:K20)</f>
        <v>0</v>
      </c>
      <c r="L21" s="50">
        <v>0</v>
      </c>
    </row>
    <row r="23" spans="1:15" x14ac:dyDescent="0.3">
      <c r="I23" s="126" t="s">
        <v>86</v>
      </c>
      <c r="J23" s="127">
        <f>SUM(EEPA!V4:V7)+SUM(EEPA!AB4:AB7)+SUM(EEPA!AM4:AM7)</f>
        <v>8525921.00543667</v>
      </c>
    </row>
    <row r="24" spans="1:15" x14ac:dyDescent="0.3">
      <c r="I24" s="126" t="s">
        <v>87</v>
      </c>
      <c r="J24" s="127">
        <f>+SUM(I21:J21)-J23</f>
        <v>38.269666561856866</v>
      </c>
    </row>
    <row r="25" spans="1:15" x14ac:dyDescent="0.3">
      <c r="I25" s="119"/>
    </row>
  </sheetData>
  <mergeCells count="5">
    <mergeCell ref="I2:L2"/>
    <mergeCell ref="A3:A4"/>
    <mergeCell ref="B3:B4"/>
    <mergeCell ref="C3:C4"/>
    <mergeCell ref="N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7"/>
  <sheetViews>
    <sheetView topLeftCell="T1" workbookViewId="0">
      <selection activeCell="AN14" sqref="AN14"/>
    </sheetView>
  </sheetViews>
  <sheetFormatPr baseColWidth="10" defaultColWidth="8.88671875" defaultRowHeight="14.4" x14ac:dyDescent="0.3"/>
  <cols>
    <col min="2" max="2" width="11.21875" bestFit="1" customWidth="1"/>
    <col min="3" max="3" width="22.44140625" bestFit="1" customWidth="1"/>
    <col min="4" max="4" width="48" bestFit="1" customWidth="1"/>
    <col min="40" max="40" width="9.6640625" bestFit="1" customWidth="1"/>
    <col min="41" max="41" width="8.5546875" bestFit="1" customWidth="1"/>
    <col min="42" max="42" width="9.6640625" bestFit="1" customWidth="1"/>
  </cols>
  <sheetData>
    <row r="1" spans="2:42" ht="15" thickBot="1" x14ac:dyDescent="0.35"/>
    <row r="2" spans="2:42" ht="15" thickBot="1" x14ac:dyDescent="0.35">
      <c r="B2" s="1"/>
      <c r="C2" s="1"/>
      <c r="D2" s="1"/>
      <c r="E2" s="138" t="s">
        <v>71</v>
      </c>
      <c r="F2" s="139"/>
      <c r="G2" s="139"/>
      <c r="H2" s="139"/>
      <c r="I2" s="140"/>
      <c r="J2" s="141"/>
      <c r="K2" s="138" t="s">
        <v>72</v>
      </c>
      <c r="L2" s="139"/>
      <c r="M2" s="139"/>
      <c r="N2" s="139"/>
      <c r="O2" s="140"/>
      <c r="P2" s="141"/>
      <c r="Q2" s="142" t="s">
        <v>73</v>
      </c>
      <c r="R2" s="143"/>
      <c r="S2" s="143"/>
      <c r="T2" s="143"/>
      <c r="U2" s="143"/>
      <c r="V2" s="144"/>
      <c r="W2" s="143" t="s">
        <v>74</v>
      </c>
      <c r="X2" s="143"/>
      <c r="Y2" s="143"/>
      <c r="Z2" s="143"/>
      <c r="AA2" s="143"/>
      <c r="AB2" s="143"/>
      <c r="AC2" s="138" t="s">
        <v>0</v>
      </c>
      <c r="AD2" s="139"/>
      <c r="AE2" s="139"/>
      <c r="AF2" s="139"/>
      <c r="AG2" s="147"/>
      <c r="AH2" s="138" t="s">
        <v>1</v>
      </c>
      <c r="AI2" s="139"/>
      <c r="AJ2" s="139"/>
      <c r="AK2" s="139"/>
      <c r="AL2" s="139"/>
      <c r="AM2" s="147"/>
      <c r="AN2" s="145" t="s">
        <v>48</v>
      </c>
      <c r="AO2" s="145"/>
      <c r="AP2" s="146"/>
    </row>
    <row r="3" spans="2:42" ht="40.200000000000003" thickBot="1" x14ac:dyDescent="0.35">
      <c r="B3" s="51" t="s">
        <v>3</v>
      </c>
      <c r="C3" s="51" t="s">
        <v>2</v>
      </c>
      <c r="D3" s="52" t="s">
        <v>75</v>
      </c>
      <c r="E3" s="53" t="s">
        <v>4</v>
      </c>
      <c r="F3" s="54" t="s">
        <v>5</v>
      </c>
      <c r="G3" s="54" t="s">
        <v>6</v>
      </c>
      <c r="H3" s="54" t="s">
        <v>7</v>
      </c>
      <c r="I3" s="55" t="s">
        <v>8</v>
      </c>
      <c r="J3" s="56" t="s">
        <v>9</v>
      </c>
      <c r="K3" s="53" t="s">
        <v>4</v>
      </c>
      <c r="L3" s="54" t="s">
        <v>5</v>
      </c>
      <c r="M3" s="54" t="s">
        <v>6</v>
      </c>
      <c r="N3" s="54" t="s">
        <v>7</v>
      </c>
      <c r="O3" s="55" t="s">
        <v>8</v>
      </c>
      <c r="P3" s="56" t="s">
        <v>10</v>
      </c>
      <c r="Q3" s="53" t="s">
        <v>4</v>
      </c>
      <c r="R3" s="54" t="s">
        <v>5</v>
      </c>
      <c r="S3" s="54" t="s">
        <v>6</v>
      </c>
      <c r="T3" s="54" t="s">
        <v>7</v>
      </c>
      <c r="U3" s="55" t="s">
        <v>8</v>
      </c>
      <c r="V3" s="56" t="s">
        <v>76</v>
      </c>
      <c r="W3" s="57" t="s">
        <v>4</v>
      </c>
      <c r="X3" s="54" t="s">
        <v>5</v>
      </c>
      <c r="Y3" s="54" t="s">
        <v>6</v>
      </c>
      <c r="Z3" s="54" t="s">
        <v>7</v>
      </c>
      <c r="AA3" s="55" t="s">
        <v>8</v>
      </c>
      <c r="AB3" s="56" t="s">
        <v>76</v>
      </c>
      <c r="AC3" s="53" t="s">
        <v>4</v>
      </c>
      <c r="AD3" s="54" t="s">
        <v>5</v>
      </c>
      <c r="AE3" s="54" t="s">
        <v>6</v>
      </c>
      <c r="AF3" s="54" t="s">
        <v>7</v>
      </c>
      <c r="AG3" s="58" t="s">
        <v>8</v>
      </c>
      <c r="AH3" s="53" t="s">
        <v>4</v>
      </c>
      <c r="AI3" s="54" t="s">
        <v>5</v>
      </c>
      <c r="AJ3" s="54" t="s">
        <v>6</v>
      </c>
      <c r="AK3" s="54" t="s">
        <v>7</v>
      </c>
      <c r="AL3" s="55" t="s">
        <v>8</v>
      </c>
      <c r="AM3" s="56" t="s">
        <v>77</v>
      </c>
      <c r="AN3" s="59" t="s">
        <v>78</v>
      </c>
      <c r="AO3" s="60" t="s">
        <v>79</v>
      </c>
      <c r="AP3" s="61" t="s">
        <v>80</v>
      </c>
    </row>
    <row r="4" spans="2:42" x14ac:dyDescent="0.3">
      <c r="B4" s="62" t="s">
        <v>12</v>
      </c>
      <c r="C4" s="63" t="s">
        <v>11</v>
      </c>
      <c r="D4" s="64" t="s">
        <v>13</v>
      </c>
      <c r="E4" s="65">
        <v>0</v>
      </c>
      <c r="F4" s="66">
        <v>1061.1590719219391</v>
      </c>
      <c r="G4" s="66">
        <v>2666.7967456368178</v>
      </c>
      <c r="H4" s="66">
        <v>3592.2124424404556</v>
      </c>
      <c r="I4" s="67">
        <v>6311.2900974439599</v>
      </c>
      <c r="J4" s="68">
        <v>13631.458357443173</v>
      </c>
      <c r="K4" s="69">
        <v>0</v>
      </c>
      <c r="L4" s="70">
        <v>2.7176846962875523</v>
      </c>
      <c r="M4" s="70">
        <v>6.8298079859037086</v>
      </c>
      <c r="N4" s="70">
        <v>9.1998466949470732</v>
      </c>
      <c r="O4" s="71">
        <v>16.163548864157818</v>
      </c>
      <c r="P4" s="72">
        <v>34.910888241296149</v>
      </c>
      <c r="Q4" s="65">
        <v>0</v>
      </c>
      <c r="R4" s="66">
        <v>41579.39591511734</v>
      </c>
      <c r="S4" s="66">
        <v>105767.82572870184</v>
      </c>
      <c r="T4" s="66">
        <v>142513.8442289402</v>
      </c>
      <c r="U4" s="67">
        <v>265522.28568956483</v>
      </c>
      <c r="V4" s="73">
        <v>555383.35156232421</v>
      </c>
      <c r="W4" s="74">
        <v>0</v>
      </c>
      <c r="X4" s="66">
        <v>19081.55234322316</v>
      </c>
      <c r="Y4" s="66">
        <v>48500.484554746385</v>
      </c>
      <c r="Z4" s="66">
        <v>65421.261952224515</v>
      </c>
      <c r="AA4" s="67">
        <v>112466.97370297127</v>
      </c>
      <c r="AB4" s="68">
        <v>245470.27255316533</v>
      </c>
      <c r="AC4" s="75">
        <v>0</v>
      </c>
      <c r="AD4" s="76">
        <v>0</v>
      </c>
      <c r="AE4" s="76">
        <v>0</v>
      </c>
      <c r="AF4" s="76">
        <v>0</v>
      </c>
      <c r="AG4" s="77">
        <v>0</v>
      </c>
      <c r="AH4" s="78">
        <v>0</v>
      </c>
      <c r="AI4" s="79">
        <v>0</v>
      </c>
      <c r="AJ4" s="79">
        <v>0</v>
      </c>
      <c r="AK4" s="79">
        <v>0</v>
      </c>
      <c r="AL4" s="80">
        <v>0</v>
      </c>
      <c r="AM4" s="81">
        <v>0</v>
      </c>
      <c r="AN4" s="82">
        <v>555383.35156232421</v>
      </c>
      <c r="AO4" s="83">
        <v>245470.27255316533</v>
      </c>
      <c r="AP4" s="84">
        <v>800853.62411548954</v>
      </c>
    </row>
    <row r="5" spans="2:42" x14ac:dyDescent="0.3">
      <c r="B5" s="85" t="s">
        <v>14</v>
      </c>
      <c r="C5" s="86" t="s">
        <v>11</v>
      </c>
      <c r="D5" s="87" t="s">
        <v>15</v>
      </c>
      <c r="E5" s="88">
        <v>0</v>
      </c>
      <c r="F5" s="89">
        <v>3069.0504165301859</v>
      </c>
      <c r="G5" s="89">
        <v>7712.8244761404521</v>
      </c>
      <c r="H5" s="89">
        <v>10389.282233406559</v>
      </c>
      <c r="I5" s="90">
        <v>18253.311887841159</v>
      </c>
      <c r="J5" s="73">
        <v>39424.469013918351</v>
      </c>
      <c r="K5" s="91">
        <v>0</v>
      </c>
      <c r="L5" s="92">
        <v>0</v>
      </c>
      <c r="M5" s="92">
        <v>0</v>
      </c>
      <c r="N5" s="92">
        <v>0</v>
      </c>
      <c r="O5" s="93">
        <v>0</v>
      </c>
      <c r="P5" s="94">
        <v>0</v>
      </c>
      <c r="Q5" s="88">
        <v>0</v>
      </c>
      <c r="R5" s="89">
        <v>198772.50985243497</v>
      </c>
      <c r="S5" s="89">
        <v>506028.75014311873</v>
      </c>
      <c r="T5" s="89">
        <v>682098.80638785753</v>
      </c>
      <c r="U5" s="90">
        <v>1229378.3235897776</v>
      </c>
      <c r="V5" s="73">
        <v>2459197.2301582396</v>
      </c>
      <c r="W5" s="95">
        <v>0</v>
      </c>
      <c r="X5" s="89">
        <v>0</v>
      </c>
      <c r="Y5" s="89">
        <v>0</v>
      </c>
      <c r="Z5" s="89">
        <v>0</v>
      </c>
      <c r="AA5" s="90">
        <v>0</v>
      </c>
      <c r="AB5" s="73">
        <v>0</v>
      </c>
      <c r="AC5" s="96">
        <v>1.9636800997910733</v>
      </c>
      <c r="AD5" s="97">
        <v>1.9122408216876747</v>
      </c>
      <c r="AE5" s="97">
        <v>1.9370999523696142</v>
      </c>
      <c r="AF5" s="97">
        <v>1.9384385209447963</v>
      </c>
      <c r="AG5" s="98">
        <v>1.9885392304730132</v>
      </c>
      <c r="AH5" s="99">
        <v>0</v>
      </c>
      <c r="AI5" s="100">
        <v>-5868.7634903065828</v>
      </c>
      <c r="AJ5" s="100">
        <v>-14940.511925366864</v>
      </c>
      <c r="AK5" s="100">
        <v>-20138.984886202659</v>
      </c>
      <c r="AL5" s="101">
        <v>-36297.426775031563</v>
      </c>
      <c r="AM5" s="102">
        <v>-77245.687076907663</v>
      </c>
      <c r="AN5" s="103">
        <v>2381951.543081332</v>
      </c>
      <c r="AO5" s="86">
        <v>0</v>
      </c>
      <c r="AP5" s="104">
        <v>2381951.543081332</v>
      </c>
    </row>
    <row r="6" spans="2:42" x14ac:dyDescent="0.3">
      <c r="B6" s="85" t="s">
        <v>14</v>
      </c>
      <c r="C6" s="86" t="s">
        <v>11</v>
      </c>
      <c r="D6" s="87" t="s">
        <v>16</v>
      </c>
      <c r="E6" s="88">
        <v>0</v>
      </c>
      <c r="F6" s="89">
        <v>3069.0657619868743</v>
      </c>
      <c r="G6" s="89">
        <v>7712.8630407770288</v>
      </c>
      <c r="H6" s="89">
        <v>10389.334180510356</v>
      </c>
      <c r="I6" s="90">
        <v>18253.403155617503</v>
      </c>
      <c r="J6" s="73">
        <v>39424.666138891764</v>
      </c>
      <c r="K6" s="91">
        <v>0</v>
      </c>
      <c r="L6" s="92">
        <v>0</v>
      </c>
      <c r="M6" s="92">
        <v>0</v>
      </c>
      <c r="N6" s="92">
        <v>0</v>
      </c>
      <c r="O6" s="93">
        <v>0</v>
      </c>
      <c r="P6" s="94">
        <v>0</v>
      </c>
      <c r="Q6" s="88">
        <v>0</v>
      </c>
      <c r="R6" s="89">
        <v>198773.5037282359</v>
      </c>
      <c r="S6" s="89">
        <v>506031.2803206052</v>
      </c>
      <c r="T6" s="89">
        <v>682102.21692736342</v>
      </c>
      <c r="U6" s="90">
        <v>1229384.4705633551</v>
      </c>
      <c r="V6" s="73">
        <v>2459209.5263083396</v>
      </c>
      <c r="W6" s="95">
        <v>0</v>
      </c>
      <c r="X6" s="89">
        <v>0</v>
      </c>
      <c r="Y6" s="89">
        <v>0</v>
      </c>
      <c r="Z6" s="89">
        <v>0</v>
      </c>
      <c r="AA6" s="90">
        <v>0</v>
      </c>
      <c r="AB6" s="73">
        <v>0</v>
      </c>
      <c r="AC6" s="96">
        <v>1.9636800997910733</v>
      </c>
      <c r="AD6" s="97">
        <v>1.9122408216876747</v>
      </c>
      <c r="AE6" s="97">
        <v>1.9370999523696142</v>
      </c>
      <c r="AF6" s="97">
        <v>1.9384385209447963</v>
      </c>
      <c r="AG6" s="98">
        <v>1.9885392304730132</v>
      </c>
      <c r="AH6" s="99">
        <v>0</v>
      </c>
      <c r="AI6" s="100">
        <v>-5868.7928345152905</v>
      </c>
      <c r="AJ6" s="100">
        <v>-14940.58662892254</v>
      </c>
      <c r="AK6" s="100">
        <v>-20139.08558246971</v>
      </c>
      <c r="AL6" s="101">
        <v>-36297.608264585302</v>
      </c>
      <c r="AM6" s="102">
        <v>-77246.073310492837</v>
      </c>
      <c r="AN6" s="103">
        <v>2381963.4529978465</v>
      </c>
      <c r="AO6" s="86">
        <v>0</v>
      </c>
      <c r="AP6" s="104">
        <v>2381963.4529978465</v>
      </c>
    </row>
    <row r="7" spans="2:42" x14ac:dyDescent="0.3">
      <c r="B7" s="85" t="s">
        <v>14</v>
      </c>
      <c r="C7" s="86" t="s">
        <v>11</v>
      </c>
      <c r="D7" s="87" t="s">
        <v>17</v>
      </c>
      <c r="E7" s="88">
        <v>0</v>
      </c>
      <c r="F7" s="89">
        <v>3069.0811074435637</v>
      </c>
      <c r="G7" s="89">
        <v>7712.9016054136064</v>
      </c>
      <c r="H7" s="89">
        <v>10389.386127614152</v>
      </c>
      <c r="I7" s="90">
        <v>18253.494423393848</v>
      </c>
      <c r="J7" s="73">
        <v>39424.863263865176</v>
      </c>
      <c r="K7" s="91">
        <v>0</v>
      </c>
      <c r="L7" s="92">
        <v>7.8600795847299603</v>
      </c>
      <c r="M7" s="92">
        <v>19.753150316134882</v>
      </c>
      <c r="N7" s="92">
        <v>26.607769211924712</v>
      </c>
      <c r="O7" s="93">
        <v>46.748167886253384</v>
      </c>
      <c r="P7" s="94">
        <v>100.96916699904294</v>
      </c>
      <c r="Q7" s="88">
        <v>0</v>
      </c>
      <c r="R7" s="89">
        <v>198774.49760403688</v>
      </c>
      <c r="S7" s="89">
        <v>506033.81049809174</v>
      </c>
      <c r="T7" s="89">
        <v>682105.62746686942</v>
      </c>
      <c r="U7" s="90">
        <v>1229390.6175369329</v>
      </c>
      <c r="V7" s="73">
        <v>2459221.822458439</v>
      </c>
      <c r="W7" s="95">
        <v>0</v>
      </c>
      <c r="X7" s="89">
        <v>53648.050754494361</v>
      </c>
      <c r="Y7" s="89">
        <v>136184.51964646607</v>
      </c>
      <c r="Z7" s="89">
        <v>183624.05718245753</v>
      </c>
      <c r="AA7" s="90">
        <v>316489.63310731354</v>
      </c>
      <c r="AB7" s="73">
        <v>579177.02232764044</v>
      </c>
      <c r="AC7" s="96">
        <v>1.9636800997910733</v>
      </c>
      <c r="AD7" s="97">
        <v>1.9122408216876747</v>
      </c>
      <c r="AE7" s="97">
        <v>1.9370999523696142</v>
      </c>
      <c r="AF7" s="97">
        <v>1.9384385209447963</v>
      </c>
      <c r="AG7" s="98">
        <v>1.9885392304730132</v>
      </c>
      <c r="AH7" s="99">
        <v>0</v>
      </c>
      <c r="AI7" s="100">
        <v>-5868.8221787239991</v>
      </c>
      <c r="AJ7" s="100">
        <v>-14940.661332478217</v>
      </c>
      <c r="AK7" s="100">
        <v>-20139.186278736761</v>
      </c>
      <c r="AL7" s="101">
        <v>-36297.789754139041</v>
      </c>
      <c r="AM7" s="102">
        <v>-77246.45954407801</v>
      </c>
      <c r="AN7" s="103">
        <v>2381975.3629143611</v>
      </c>
      <c r="AO7" s="86">
        <v>579177.02232764044</v>
      </c>
      <c r="AP7" s="104">
        <v>2961152.3852420016</v>
      </c>
    </row>
  </sheetData>
  <mergeCells count="7">
    <mergeCell ref="E2:J2"/>
    <mergeCell ref="K2:P2"/>
    <mergeCell ref="Q2:V2"/>
    <mergeCell ref="W2:AB2"/>
    <mergeCell ref="AN2:AP2"/>
    <mergeCell ref="AC2:AG2"/>
    <mergeCell ref="AH2:A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5177-62FD-4C79-AB23-1DF1E1AC4CA4}">
  <dimension ref="C3:K20"/>
  <sheetViews>
    <sheetView topLeftCell="A4" workbookViewId="0">
      <selection activeCell="K19" sqref="K19"/>
    </sheetView>
  </sheetViews>
  <sheetFormatPr baseColWidth="10" defaultRowHeight="14.4" x14ac:dyDescent="0.3"/>
  <cols>
    <col min="6" max="6" width="19.109375" bestFit="1" customWidth="1"/>
  </cols>
  <sheetData>
    <row r="3" spans="3:11" x14ac:dyDescent="0.3">
      <c r="C3" s="2" t="s">
        <v>18</v>
      </c>
      <c r="D3" s="3"/>
      <c r="E3" s="3" t="s">
        <v>19</v>
      </c>
      <c r="F3" s="4" t="s">
        <v>20</v>
      </c>
    </row>
    <row r="4" spans="3:11" x14ac:dyDescent="0.3">
      <c r="C4" s="5" t="s">
        <v>21</v>
      </c>
      <c r="D4" s="6" t="s">
        <v>22</v>
      </c>
      <c r="E4" s="6">
        <v>79.322000000000003</v>
      </c>
      <c r="F4" s="7" t="s">
        <v>23</v>
      </c>
      <c r="H4" s="148" t="s">
        <v>24</v>
      </c>
      <c r="I4" s="149"/>
    </row>
    <row r="5" spans="3:11" x14ac:dyDescent="0.3">
      <c r="C5" s="10" t="s">
        <v>25</v>
      </c>
      <c r="D5" s="11" t="s">
        <v>26</v>
      </c>
      <c r="E5" s="11">
        <v>8.3592999999999993</v>
      </c>
      <c r="F5" s="12" t="s">
        <v>23</v>
      </c>
      <c r="H5" s="13" t="s">
        <v>27</v>
      </c>
      <c r="I5" s="14">
        <v>0.93996007442596441</v>
      </c>
    </row>
    <row r="6" spans="3:11" x14ac:dyDescent="0.3">
      <c r="C6" s="2" t="s">
        <v>18</v>
      </c>
      <c r="D6" s="3"/>
      <c r="E6" s="3" t="s">
        <v>19</v>
      </c>
      <c r="F6" s="4" t="s">
        <v>20</v>
      </c>
      <c r="H6" s="15" t="s">
        <v>25</v>
      </c>
      <c r="I6" s="16">
        <v>0.83945236799718903</v>
      </c>
    </row>
    <row r="7" spans="3:11" x14ac:dyDescent="0.3">
      <c r="C7" s="5" t="s">
        <v>28</v>
      </c>
      <c r="D7" s="6"/>
      <c r="E7" s="6">
        <v>743.19</v>
      </c>
      <c r="F7" s="7" t="s">
        <v>29</v>
      </c>
    </row>
    <row r="8" spans="3:11" x14ac:dyDescent="0.3">
      <c r="C8" s="5" t="s">
        <v>30</v>
      </c>
      <c r="D8" s="6"/>
      <c r="E8" s="17">
        <v>260.47899999999998</v>
      </c>
      <c r="F8" s="7" t="s">
        <v>29</v>
      </c>
    </row>
    <row r="9" spans="3:11" x14ac:dyDescent="0.3">
      <c r="C9" s="5" t="s">
        <v>31</v>
      </c>
      <c r="D9" s="6"/>
      <c r="E9" s="18" t="s">
        <v>32</v>
      </c>
      <c r="F9" s="7"/>
    </row>
    <row r="10" spans="3:11" x14ac:dyDescent="0.3">
      <c r="C10" s="5" t="s">
        <v>33</v>
      </c>
      <c r="D10" s="6"/>
      <c r="E10" s="19" t="s">
        <v>34</v>
      </c>
      <c r="F10" s="7"/>
    </row>
    <row r="11" spans="3:11" x14ac:dyDescent="0.3">
      <c r="C11" s="5" t="s">
        <v>35</v>
      </c>
      <c r="D11" s="6"/>
      <c r="E11" s="17">
        <v>237.09</v>
      </c>
      <c r="F11" s="7"/>
    </row>
    <row r="12" spans="3:11" x14ac:dyDescent="0.3">
      <c r="C12" s="5" t="s">
        <v>36</v>
      </c>
      <c r="D12" s="6"/>
      <c r="E12" s="20">
        <v>248.35900000000001</v>
      </c>
      <c r="F12" s="7"/>
    </row>
    <row r="13" spans="3:11" x14ac:dyDescent="0.3">
      <c r="C13" s="10" t="s">
        <v>37</v>
      </c>
      <c r="D13" s="11"/>
      <c r="E13" s="21"/>
      <c r="F13" s="12" t="s">
        <v>38</v>
      </c>
    </row>
    <row r="16" spans="3:11" ht="41.4" x14ac:dyDescent="0.3">
      <c r="C16" s="22" t="s">
        <v>39</v>
      </c>
      <c r="D16" s="22" t="s">
        <v>40</v>
      </c>
      <c r="E16" s="23" t="s">
        <v>41</v>
      </c>
      <c r="F16" s="22" t="s">
        <v>42</v>
      </c>
      <c r="G16" s="22" t="s">
        <v>43</v>
      </c>
      <c r="H16" s="22" t="s">
        <v>44</v>
      </c>
      <c r="I16" s="22" t="s">
        <v>45</v>
      </c>
      <c r="J16" s="22" t="s">
        <v>46</v>
      </c>
      <c r="K16" s="22" t="s">
        <v>47</v>
      </c>
    </row>
    <row r="17" spans="3:11" x14ac:dyDescent="0.3">
      <c r="C17" t="s">
        <v>48</v>
      </c>
      <c r="D17" t="s">
        <v>5</v>
      </c>
      <c r="E17" s="24">
        <v>1</v>
      </c>
      <c r="F17" s="24">
        <v>1</v>
      </c>
      <c r="G17" s="25">
        <v>87.14713922139272</v>
      </c>
      <c r="H17" s="24">
        <v>9.1839474659412019</v>
      </c>
      <c r="I17" s="25">
        <v>2.7373688491256605</v>
      </c>
      <c r="J17" s="25">
        <v>58.966000000000001</v>
      </c>
      <c r="K17" s="24">
        <v>5729.6131999999998</v>
      </c>
    </row>
    <row r="18" spans="3:11" x14ac:dyDescent="0.3">
      <c r="C18" t="s">
        <v>48</v>
      </c>
      <c r="D18" t="s">
        <v>6</v>
      </c>
      <c r="E18" s="24">
        <v>1.0129999999999999</v>
      </c>
      <c r="F18" s="24">
        <v>1.0101</v>
      </c>
      <c r="G18" s="25">
        <v>88.280052031270813</v>
      </c>
      <c r="H18" s="24">
        <v>9.2767053353472093</v>
      </c>
      <c r="I18" s="25">
        <v>2.7729546441642938</v>
      </c>
      <c r="J18" s="25">
        <v>59.732999999999997</v>
      </c>
      <c r="K18" s="24">
        <v>5787.4822999999997</v>
      </c>
    </row>
    <row r="19" spans="3:11" x14ac:dyDescent="0.3">
      <c r="C19" t="s">
        <v>48</v>
      </c>
      <c r="D19" t="s">
        <v>7</v>
      </c>
      <c r="E19" s="24">
        <v>1.0137</v>
      </c>
      <c r="F19" s="24">
        <v>1.0111000000000001</v>
      </c>
      <c r="G19" s="25">
        <v>88.341055028725805</v>
      </c>
      <c r="H19" s="24">
        <v>9.2858892828131498</v>
      </c>
      <c r="I19" s="25">
        <v>2.7748708023586821</v>
      </c>
      <c r="J19" s="25">
        <v>59.774000000000001</v>
      </c>
      <c r="K19" s="24">
        <v>5793.2120000000004</v>
      </c>
    </row>
    <row r="20" spans="3:11" x14ac:dyDescent="0.3">
      <c r="C20" t="s">
        <v>48</v>
      </c>
      <c r="D20" t="s">
        <v>8</v>
      </c>
      <c r="E20" s="24">
        <v>1.0399</v>
      </c>
      <c r="F20" s="24">
        <v>0.9919</v>
      </c>
      <c r="G20" s="25">
        <v>90.624310076326296</v>
      </c>
      <c r="H20" s="24">
        <v>9.1095574914670792</v>
      </c>
      <c r="I20" s="25">
        <v>2.846589866205774</v>
      </c>
      <c r="J20" s="25">
        <v>61.319000000000003</v>
      </c>
      <c r="K20" s="24">
        <v>5683.2033000000001</v>
      </c>
    </row>
  </sheetData>
  <mergeCells count="1"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52D6-B7B8-407D-9903-6051C97B5D20}">
  <dimension ref="C2:K36"/>
  <sheetViews>
    <sheetView workbookViewId="0">
      <selection activeCell="D40" sqref="D40"/>
    </sheetView>
  </sheetViews>
  <sheetFormatPr baseColWidth="10" defaultRowHeight="14.4" x14ac:dyDescent="0.3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x14ac:dyDescent="0.3">
      <c r="C2" s="8" t="s">
        <v>18</v>
      </c>
      <c r="D2" s="3"/>
      <c r="E2" s="3" t="s">
        <v>19</v>
      </c>
      <c r="F2" s="9" t="s">
        <v>20</v>
      </c>
    </row>
    <row r="3" spans="3:11" x14ac:dyDescent="0.3">
      <c r="C3" s="5" t="s">
        <v>21</v>
      </c>
      <c r="D3" s="6" t="s">
        <v>22</v>
      </c>
      <c r="E3" s="6">
        <f>+[1]Licitación!C5</f>
        <v>46.65</v>
      </c>
      <c r="F3" s="7" t="str">
        <f>_xlfn.CONCAT("PPA Licitación "&amp;E8)</f>
        <v>PPA Licitación 2015/01</v>
      </c>
      <c r="H3" s="148" t="s">
        <v>24</v>
      </c>
      <c r="I3" s="149"/>
    </row>
    <row r="4" spans="3:11" x14ac:dyDescent="0.3">
      <c r="C4" s="10" t="s">
        <v>25</v>
      </c>
      <c r="D4" s="11" t="s">
        <v>26</v>
      </c>
      <c r="E4" s="11">
        <f>+[1]Licitación!C6</f>
        <v>8.3592999999999993</v>
      </c>
      <c r="F4" s="12" t="str">
        <f>_xlfn.CONCAT("PPA Licitación "&amp;E8)</f>
        <v>PPA Licitación 2015/01</v>
      </c>
      <c r="H4" s="13" t="s">
        <v>27</v>
      </c>
      <c r="I4" s="14">
        <f>+[1]PNP!C16</f>
        <v>1</v>
      </c>
    </row>
    <row r="5" spans="3:11" x14ac:dyDescent="0.3">
      <c r="C5" s="8" t="s">
        <v>18</v>
      </c>
      <c r="D5" s="3"/>
      <c r="E5" s="3" t="s">
        <v>19</v>
      </c>
      <c r="F5" s="9" t="s">
        <v>20</v>
      </c>
      <c r="H5" s="15" t="s">
        <v>25</v>
      </c>
      <c r="I5" s="16">
        <f>+[1]PNP!C15</f>
        <v>1</v>
      </c>
    </row>
    <row r="6" spans="3:11" x14ac:dyDescent="0.3">
      <c r="C6" s="5" t="s">
        <v>28</v>
      </c>
      <c r="D6" s="6"/>
      <c r="E6" s="6">
        <f>+[1]PNP!C9</f>
        <v>744.1</v>
      </c>
      <c r="F6" s="114">
        <f>+[1]PNP!C5</f>
        <v>44562</v>
      </c>
    </row>
    <row r="7" spans="3:11" x14ac:dyDescent="0.3">
      <c r="C7" s="5" t="s">
        <v>30</v>
      </c>
      <c r="D7" s="6"/>
      <c r="E7" s="17">
        <f>+[1]PNP!C8</f>
        <v>268.14</v>
      </c>
      <c r="F7" s="114">
        <f>+[1]PNP!C5</f>
        <v>44562</v>
      </c>
    </row>
    <row r="8" spans="3:11" x14ac:dyDescent="0.3">
      <c r="C8" s="5" t="s">
        <v>31</v>
      </c>
      <c r="D8" s="6"/>
      <c r="E8" s="18" t="str">
        <f>+[1]Licitación!C3</f>
        <v>2015/01</v>
      </c>
      <c r="F8" s="7"/>
    </row>
    <row r="9" spans="3:11" x14ac:dyDescent="0.3">
      <c r="C9" s="5" t="s">
        <v>33</v>
      </c>
      <c r="D9" s="6"/>
      <c r="E9" s="19" t="s">
        <v>81</v>
      </c>
      <c r="F9" s="7"/>
    </row>
    <row r="10" spans="3:11" x14ac:dyDescent="0.3">
      <c r="C10" s="5" t="s">
        <v>35</v>
      </c>
      <c r="D10" s="6"/>
      <c r="E10" s="17">
        <f>+[1]Licitación!C7</f>
        <v>237.547</v>
      </c>
      <c r="F10" s="7"/>
    </row>
    <row r="11" spans="3:11" x14ac:dyDescent="0.3">
      <c r="C11" s="5" t="s">
        <v>36</v>
      </c>
      <c r="D11" s="6"/>
      <c r="E11" s="20">
        <f>+[1]CET!G5</f>
        <v>248.35900000000001</v>
      </c>
      <c r="F11" s="7"/>
    </row>
    <row r="12" spans="3:11" x14ac:dyDescent="0.3">
      <c r="C12" s="10" t="s">
        <v>37</v>
      </c>
      <c r="D12" s="11"/>
      <c r="E12" s="21"/>
      <c r="F12" s="12" t="str">
        <f>+'[1]Factores de modulación'!I3</f>
        <v>S2/2021</v>
      </c>
    </row>
    <row r="15" spans="3:11" ht="41.4" x14ac:dyDescent="0.3">
      <c r="C15" s="22" t="s">
        <v>39</v>
      </c>
      <c r="D15" s="22" t="s">
        <v>40</v>
      </c>
      <c r="E15" s="23" t="s">
        <v>41</v>
      </c>
      <c r="F15" s="22" t="s">
        <v>42</v>
      </c>
      <c r="G15" s="22" t="s">
        <v>43</v>
      </c>
      <c r="H15" s="22" t="s">
        <v>44</v>
      </c>
      <c r="I15" s="22" t="s">
        <v>45</v>
      </c>
      <c r="J15" s="22" t="s">
        <v>46</v>
      </c>
      <c r="K15" s="22" t="s">
        <v>47</v>
      </c>
    </row>
    <row r="16" spans="3:11" hidden="1" x14ac:dyDescent="0.3">
      <c r="C16" t="e" cm="1">
        <f t="array" ref="C16">INDEX([1]!Ptos_compra[Distribuidora],ROW()-ROW(Resultados[[#Headers],[Distribuidora]]))</f>
        <v>#REF!</v>
      </c>
      <c r="D16" t="e" cm="1">
        <f t="array" ref="D16">INDEX([1]!Ptos_compra[Barra de compra],ROW()-ROW(Resultados[[#Headers],[Punto Compra]]))</f>
        <v>#REF!</v>
      </c>
      <c r="E16" s="24" t="e">
        <f>+VLOOKUP(Resultados[[#This Row],[Punto Compra]],[1]!Factormod[#Data],5,FALSE)</f>
        <v>#REF!</v>
      </c>
      <c r="F16" s="24" t="e">
        <f>+VLOOKUP(Resultados[[#This Row],[Punto Compra]],[1]!Factormod[#Data],4,FALSE)</f>
        <v>#REF!</v>
      </c>
      <c r="G16" s="25" t="e">
        <f>ROUND($E$3*$E$7/$E$10*Resultados[[#This Row],[Fmodulacion E]],3)</f>
        <v>#REF!</v>
      </c>
      <c r="H16" s="24" t="e">
        <f>ROUND(F16*$E$4*$E$7/$E$10,4)</f>
        <v>#REF!</v>
      </c>
      <c r="I16" s="25">
        <f>+IF($E$9="SI",ROUND(SUMIFS([1]!CET[CET_0 '[US$/MWh']],[1]!CET[LICITACION],$E$8,[1]!CET[Distribuidora],Resultados[[#This Row],[Distribuidora]])*Resultados[[#This Row],[Fmodulacion E]]*$E$7/$E$11,3),0)</f>
        <v>0</v>
      </c>
      <c r="J16" s="25" t="e">
        <f>+ROUND($E$6*(Resultados[[#This Row],[Energia indexada '[US$/MWh']]]-Resultados[[#This Row],[CET Indexado modulado '[US$/MWh']]])*$I$4/1000,3)</f>
        <v>#REF!</v>
      </c>
      <c r="K16" s="25" t="e">
        <f>ROUND($E$6*$I$5*Resultados[[#This Row],[Potencia indexada '[US$/kWh']]],3)</f>
        <v>#REF!</v>
      </c>
    </row>
    <row r="17" spans="3:11" hidden="1" x14ac:dyDescent="0.3">
      <c r="C17" t="e" cm="1">
        <f t="array" ref="C17">INDEX([1]!Ptos_compra[Distribuidora],ROW()-ROW(Resultados[[#Headers],[Distribuidora]]))</f>
        <v>#REF!</v>
      </c>
      <c r="D17" t="e" cm="1">
        <f t="array" ref="D17">INDEX([1]!Ptos_compra[Barra de compra],ROW()-ROW(Resultados[[#Headers],[Punto Compra]]))</f>
        <v>#REF!</v>
      </c>
      <c r="E17" s="24" t="e">
        <f>+VLOOKUP(Resultados[[#This Row],[Punto Compra]],[1]!Factormod[#Data],5,FALSE)</f>
        <v>#REF!</v>
      </c>
      <c r="F17" s="24" t="e">
        <f>+VLOOKUP(Resultados[[#This Row],[Punto Compra]],[1]!Factormod[#Data],4,FALSE)</f>
        <v>#REF!</v>
      </c>
      <c r="G17" s="25" t="e">
        <f>ROUND($E$3*$E$7/$E$10*Resultados[[#This Row],[Fmodulacion E]],3)</f>
        <v>#REF!</v>
      </c>
      <c r="H17" s="24" t="e">
        <f t="shared" ref="H17:H32" si="0">ROUND(F17*$E$4*$E$7/$E$10,4)</f>
        <v>#REF!</v>
      </c>
      <c r="I17" s="25">
        <f>+IF($E$9="SI",ROUND(SUMIFS([1]!CET[CET_0 '[US$/MWh']],[1]!CET[LICITACION],$E$8,[1]!CET[Distribuidora],Resultados[[#This Row],[Distribuidora]])*Resultados[[#This Row],[Fmodulacion E]]*$E$7/$E$11,3),0)</f>
        <v>0</v>
      </c>
      <c r="J17" s="25" t="e">
        <f>+ROUND($E$6*(Resultados[[#This Row],[Energia indexada '[US$/MWh']]]-Resultados[[#This Row],[CET Indexado modulado '[US$/MWh']]])*$I$4/1000,3)</f>
        <v>#REF!</v>
      </c>
      <c r="K17" s="25" t="e">
        <f>ROUND($E$6*$I$5*Resultados[[#This Row],[Potencia indexada '[US$/kWh']]],3)</f>
        <v>#REF!</v>
      </c>
    </row>
    <row r="18" spans="3:11" hidden="1" x14ac:dyDescent="0.3">
      <c r="C18" t="e" cm="1">
        <f t="array" ref="C18">INDEX([1]!Ptos_compra[Distribuidora],ROW()-ROW(Resultados[[#Headers],[Distribuidora]]))</f>
        <v>#REF!</v>
      </c>
      <c r="D18" t="e" cm="1">
        <f t="array" ref="D18">INDEX([1]!Ptos_compra[Barra de compra],ROW()-ROW(Resultados[[#Headers],[Punto Compra]]))</f>
        <v>#REF!</v>
      </c>
      <c r="E18" s="24" t="e">
        <f>+VLOOKUP(Resultados[[#This Row],[Punto Compra]],[1]!Factormod[#Data],5,FALSE)</f>
        <v>#REF!</v>
      </c>
      <c r="F18" s="24" t="e">
        <f>+VLOOKUP(Resultados[[#This Row],[Punto Compra]],[1]!Factormod[#Data],4,FALSE)</f>
        <v>#REF!</v>
      </c>
      <c r="G18" s="25" t="e">
        <f>ROUND($E$3*$E$7/$E$10*Resultados[[#This Row],[Fmodulacion E]],3)</f>
        <v>#REF!</v>
      </c>
      <c r="H18" s="24" t="e">
        <f t="shared" si="0"/>
        <v>#REF!</v>
      </c>
      <c r="I18" s="25">
        <f>+IF($E$9="SI",ROUND(SUMIFS([1]!CET[CET_0 '[US$/MWh']],[1]!CET[LICITACION],$E$8,[1]!CET[Distribuidora],Resultados[[#This Row],[Distribuidora]])*Resultados[[#This Row],[Fmodulacion E]]*$E$7/$E$11,3),0)</f>
        <v>0</v>
      </c>
      <c r="J18" s="25" t="e">
        <f>+ROUND($E$6*(Resultados[[#This Row],[Energia indexada '[US$/MWh']]]-Resultados[[#This Row],[CET Indexado modulado '[US$/MWh']]])*$I$4/1000,3)</f>
        <v>#REF!</v>
      </c>
      <c r="K18" s="25" t="e">
        <f>ROUND($E$6*$I$5*Resultados[[#This Row],[Potencia indexada '[US$/kWh']]],3)</f>
        <v>#REF!</v>
      </c>
    </row>
    <row r="19" spans="3:11" hidden="1" x14ac:dyDescent="0.3">
      <c r="C19" t="e" cm="1">
        <f t="array" ref="C19">INDEX([1]!Ptos_compra[Distribuidora],ROW()-ROW(Resultados[[#Headers],[Distribuidora]]))</f>
        <v>#REF!</v>
      </c>
      <c r="D19" t="e" cm="1">
        <f t="array" ref="D19">INDEX([1]!Ptos_compra[Barra de compra],ROW()-ROW(Resultados[[#Headers],[Punto Compra]]))</f>
        <v>#REF!</v>
      </c>
      <c r="E19" s="24" t="e">
        <f>+VLOOKUP(Resultados[[#This Row],[Punto Compra]],[1]!Factormod[#Data],5,FALSE)</f>
        <v>#REF!</v>
      </c>
      <c r="F19" s="24" t="e">
        <f>+VLOOKUP(Resultados[[#This Row],[Punto Compra]],[1]!Factormod[#Data],4,FALSE)</f>
        <v>#REF!</v>
      </c>
      <c r="G19" s="25" t="e">
        <f>ROUND($E$3*$E$7/$E$10*Resultados[[#This Row],[Fmodulacion E]],3)</f>
        <v>#REF!</v>
      </c>
      <c r="H19" s="24" t="e">
        <f t="shared" si="0"/>
        <v>#REF!</v>
      </c>
      <c r="I19" s="25">
        <f>+IF($E$9="SI",ROUND(SUMIFS([1]!CET[CET_0 '[US$/MWh']],[1]!CET[LICITACION],$E$8,[1]!CET[Distribuidora],Resultados[[#This Row],[Distribuidora]])*Resultados[[#This Row],[Fmodulacion E]]*$E$7/$E$11,3),0)</f>
        <v>0</v>
      </c>
      <c r="J19" s="25" t="e">
        <f>+ROUND($E$6*(Resultados[[#This Row],[Energia indexada '[US$/MWh']]]-Resultados[[#This Row],[CET Indexado modulado '[US$/MWh']]])*$I$4/1000,3)</f>
        <v>#REF!</v>
      </c>
      <c r="K19" s="25" t="e">
        <f>ROUND($E$6*$I$5*Resultados[[#This Row],[Potencia indexada '[US$/kWh']]],3)</f>
        <v>#REF!</v>
      </c>
    </row>
    <row r="20" spans="3:11" hidden="1" x14ac:dyDescent="0.3">
      <c r="C20" t="e" cm="1">
        <f t="array" ref="C20">INDEX([1]!Ptos_compra[Distribuidora],ROW()-ROW(Resultados[[#Headers],[Distribuidora]]))</f>
        <v>#REF!</v>
      </c>
      <c r="D20" t="e" cm="1">
        <f t="array" ref="D20">INDEX([1]!Ptos_compra[Barra de compra],ROW()-ROW(Resultados[[#Headers],[Punto Compra]]))</f>
        <v>#REF!</v>
      </c>
      <c r="E20" s="24" t="e">
        <f>+VLOOKUP(Resultados[[#This Row],[Punto Compra]],[1]!Factormod[#Data],5,FALSE)</f>
        <v>#REF!</v>
      </c>
      <c r="F20" s="24" t="e">
        <f>+VLOOKUP(Resultados[[#This Row],[Punto Compra]],[1]!Factormod[#Data],4,FALSE)</f>
        <v>#REF!</v>
      </c>
      <c r="G20" s="25" t="e">
        <f>ROUND($E$3*$E$7/$E$10*Resultados[[#This Row],[Fmodulacion E]],3)</f>
        <v>#REF!</v>
      </c>
      <c r="H20" s="24" t="e">
        <f t="shared" si="0"/>
        <v>#REF!</v>
      </c>
      <c r="I20" s="25">
        <f>+IF($E$9="SI",ROUND(SUMIFS([1]!CET[CET_0 '[US$/MWh']],[1]!CET[LICITACION],$E$8,[1]!CET[Distribuidora],Resultados[[#This Row],[Distribuidora]])*Resultados[[#This Row],[Fmodulacion E]]*$E$7/$E$11,3),0)</f>
        <v>0</v>
      </c>
      <c r="J20" s="25" t="e">
        <f>+ROUND($E$6*(Resultados[[#This Row],[Energia indexada '[US$/MWh']]]-Resultados[[#This Row],[CET Indexado modulado '[US$/MWh']]])*$I$4/1000,3)</f>
        <v>#REF!</v>
      </c>
      <c r="K20" s="25" t="e">
        <f>ROUND($E$6*$I$5*Resultados[[#This Row],[Potencia indexada '[US$/kWh']]],3)</f>
        <v>#REF!</v>
      </c>
    </row>
    <row r="21" spans="3:11" hidden="1" x14ac:dyDescent="0.3">
      <c r="C21" t="e" cm="1">
        <f t="array" ref="C21">INDEX([1]!Ptos_compra[Distribuidora],ROW()-ROW(Resultados[[#Headers],[Distribuidora]]))</f>
        <v>#REF!</v>
      </c>
      <c r="D21" t="e" cm="1">
        <f t="array" ref="D21">INDEX([1]!Ptos_compra[Barra de compra],ROW()-ROW(Resultados[[#Headers],[Punto Compra]]))</f>
        <v>#REF!</v>
      </c>
      <c r="E21" s="24" t="e">
        <f>+VLOOKUP(Resultados[[#This Row],[Punto Compra]],[1]!Factormod[#Data],5,FALSE)</f>
        <v>#REF!</v>
      </c>
      <c r="F21" s="24" t="e">
        <f>+VLOOKUP(Resultados[[#This Row],[Punto Compra]],[1]!Factormod[#Data],4,FALSE)</f>
        <v>#REF!</v>
      </c>
      <c r="G21" s="25" t="e">
        <f>ROUND($E$3*$E$7/$E$10*Resultados[[#This Row],[Fmodulacion E]],3)</f>
        <v>#REF!</v>
      </c>
      <c r="H21" s="24" t="e">
        <f t="shared" si="0"/>
        <v>#REF!</v>
      </c>
      <c r="I21" s="25">
        <f>+IF($E$9="SI",ROUND(SUMIFS([1]!CET[CET_0 '[US$/MWh']],[1]!CET[LICITACION],$E$8,[1]!CET[Distribuidora],Resultados[[#This Row],[Distribuidora]])*Resultados[[#This Row],[Fmodulacion E]]*$E$7/$E$11,3),0)</f>
        <v>0</v>
      </c>
      <c r="J21" s="25" t="e">
        <f>+ROUND($E$6*(Resultados[[#This Row],[Energia indexada '[US$/MWh']]]-Resultados[[#This Row],[CET Indexado modulado '[US$/MWh']]])*$I$4/1000,3)</f>
        <v>#REF!</v>
      </c>
      <c r="K21" s="25" t="e">
        <f>ROUND($E$6*$I$5*Resultados[[#This Row],[Potencia indexada '[US$/kWh']]],3)</f>
        <v>#REF!</v>
      </c>
    </row>
    <row r="22" spans="3:11" hidden="1" x14ac:dyDescent="0.3">
      <c r="C22" t="e" cm="1">
        <f t="array" ref="C22">INDEX([1]!Ptos_compra[Distribuidora],ROW()-ROW(Resultados[[#Headers],[Distribuidora]]))</f>
        <v>#REF!</v>
      </c>
      <c r="D22" t="e" cm="1">
        <f t="array" ref="D22">INDEX([1]!Ptos_compra[Barra de compra],ROW()-ROW(Resultados[[#Headers],[Punto Compra]]))</f>
        <v>#REF!</v>
      </c>
      <c r="E22" s="24" t="e">
        <f>+VLOOKUP(Resultados[[#This Row],[Punto Compra]],[1]!Factormod[#Data],5,FALSE)</f>
        <v>#REF!</v>
      </c>
      <c r="F22" s="24" t="e">
        <f>+VLOOKUP(Resultados[[#This Row],[Punto Compra]],[1]!Factormod[#Data],4,FALSE)</f>
        <v>#REF!</v>
      </c>
      <c r="G22" s="25" t="e">
        <f>ROUND($E$3*$E$7/$E$10*Resultados[[#This Row],[Fmodulacion E]],3)</f>
        <v>#REF!</v>
      </c>
      <c r="H22" s="24" t="e">
        <f t="shared" si="0"/>
        <v>#REF!</v>
      </c>
      <c r="I22" s="25">
        <f>+IF($E$9="SI",ROUND(SUMIFS([1]!CET[CET_0 '[US$/MWh']],[1]!CET[LICITACION],$E$8,[1]!CET[Distribuidora],Resultados[[#This Row],[Distribuidora]])*Resultados[[#This Row],[Fmodulacion E]]*$E$7/$E$11,3),0)</f>
        <v>0</v>
      </c>
      <c r="J22" s="25" t="e">
        <f>+ROUND($E$6*(Resultados[[#This Row],[Energia indexada '[US$/MWh']]]-Resultados[[#This Row],[CET Indexado modulado '[US$/MWh']]])*$I$4/1000,3)</f>
        <v>#REF!</v>
      </c>
      <c r="K22" s="25" t="e">
        <f>ROUND($E$6*$I$5*Resultados[[#This Row],[Potencia indexada '[US$/kWh']]],3)</f>
        <v>#REF!</v>
      </c>
    </row>
    <row r="23" spans="3:11" hidden="1" x14ac:dyDescent="0.3">
      <c r="C23" t="e" cm="1">
        <f t="array" ref="C23">INDEX([1]!Ptos_compra[Distribuidora],ROW()-ROW(Resultados[[#Headers],[Distribuidora]]))</f>
        <v>#REF!</v>
      </c>
      <c r="D23" t="e" cm="1">
        <f t="array" ref="D23">INDEX([1]!Ptos_compra[Barra de compra],ROW()-ROW(Resultados[[#Headers],[Punto Compra]]))</f>
        <v>#REF!</v>
      </c>
      <c r="E23" s="24" t="e">
        <f>+VLOOKUP(Resultados[[#This Row],[Punto Compra]],[1]!Factormod[#Data],5,FALSE)</f>
        <v>#REF!</v>
      </c>
      <c r="F23" s="24" t="e">
        <f>+VLOOKUP(Resultados[[#This Row],[Punto Compra]],[1]!Factormod[#Data],4,FALSE)</f>
        <v>#REF!</v>
      </c>
      <c r="G23" s="25" t="e">
        <f>ROUND($E$3*$E$7/$E$10*Resultados[[#This Row],[Fmodulacion E]],3)</f>
        <v>#REF!</v>
      </c>
      <c r="H23" s="24" t="e">
        <f t="shared" si="0"/>
        <v>#REF!</v>
      </c>
      <c r="I23" s="25">
        <f>+IF($E$9="SI",ROUND(SUMIFS([1]!CET[CET_0 '[US$/MWh']],[1]!CET[LICITACION],$E$8,[1]!CET[Distribuidora],Resultados[[#This Row],[Distribuidora]])*Resultados[[#This Row],[Fmodulacion E]]*$E$7/$E$11,3),0)</f>
        <v>0</v>
      </c>
      <c r="J23" s="25" t="e">
        <f>+ROUND($E$6*(Resultados[[#This Row],[Energia indexada '[US$/MWh']]]-Resultados[[#This Row],[CET Indexado modulado '[US$/MWh']]])*$I$4/1000,3)</f>
        <v>#REF!</v>
      </c>
      <c r="K23" s="25" t="e">
        <f>ROUND($E$6*$I$5*Resultados[[#This Row],[Potencia indexada '[US$/kWh']]],3)</f>
        <v>#REF!</v>
      </c>
    </row>
    <row r="24" spans="3:11" hidden="1" x14ac:dyDescent="0.3">
      <c r="C24" t="e" cm="1">
        <f t="array" ref="C24">INDEX([1]!Ptos_compra[Distribuidora],ROW()-ROW(Resultados[[#Headers],[Distribuidora]]))</f>
        <v>#REF!</v>
      </c>
      <c r="D24" t="e" cm="1">
        <f t="array" ref="D24">INDEX([1]!Ptos_compra[Barra de compra],ROW()-ROW(Resultados[[#Headers],[Punto Compra]]))</f>
        <v>#REF!</v>
      </c>
      <c r="E24" s="24" t="e">
        <f>+VLOOKUP(Resultados[[#This Row],[Punto Compra]],[1]!Factormod[#Data],5,FALSE)</f>
        <v>#REF!</v>
      </c>
      <c r="F24" s="24" t="e">
        <f>+VLOOKUP(Resultados[[#This Row],[Punto Compra]],[1]!Factormod[#Data],4,FALSE)</f>
        <v>#REF!</v>
      </c>
      <c r="G24" s="25" t="e">
        <f>ROUND($E$3*$E$7/$E$10*Resultados[[#This Row],[Fmodulacion E]],3)</f>
        <v>#REF!</v>
      </c>
      <c r="H24" s="24" t="e">
        <f t="shared" si="0"/>
        <v>#REF!</v>
      </c>
      <c r="I24" s="25">
        <f>+IF($E$9="SI",ROUND(SUMIFS([1]!CET[CET_0 '[US$/MWh']],[1]!CET[LICITACION],$E$8,[1]!CET[Distribuidora],Resultados[[#This Row],[Distribuidora]])*Resultados[[#This Row],[Fmodulacion E]]*$E$7/$E$11,3),0)</f>
        <v>0</v>
      </c>
      <c r="J24" s="25" t="e">
        <f>+ROUND($E$6*(Resultados[[#This Row],[Energia indexada '[US$/MWh']]]-Resultados[[#This Row],[CET Indexado modulado '[US$/MWh']]])*$I$4/1000,3)</f>
        <v>#REF!</v>
      </c>
      <c r="K24" s="25" t="e">
        <f>ROUND($E$6*$I$5*Resultados[[#This Row],[Potencia indexada '[US$/kWh']]],3)</f>
        <v>#REF!</v>
      </c>
    </row>
    <row r="25" spans="3:11" hidden="1" x14ac:dyDescent="0.3">
      <c r="C25" t="e" cm="1">
        <f t="array" ref="C25">INDEX([1]!Ptos_compra[Distribuidora],ROW()-ROW(Resultados[[#Headers],[Distribuidora]]))</f>
        <v>#REF!</v>
      </c>
      <c r="D25" t="e" cm="1">
        <f t="array" ref="D25">INDEX([1]!Ptos_compra[Barra de compra],ROW()-ROW(Resultados[[#Headers],[Punto Compra]]))</f>
        <v>#REF!</v>
      </c>
      <c r="E25" s="24" t="e">
        <f>+VLOOKUP(Resultados[[#This Row],[Punto Compra]],[1]!Factormod[#Data],5,FALSE)</f>
        <v>#REF!</v>
      </c>
      <c r="F25" s="24" t="e">
        <f>+VLOOKUP(Resultados[[#This Row],[Punto Compra]],[1]!Factormod[#Data],4,FALSE)</f>
        <v>#REF!</v>
      </c>
      <c r="G25" s="25" t="e">
        <f>ROUND($E$3*$E$7/$E$10*Resultados[[#This Row],[Fmodulacion E]],3)</f>
        <v>#REF!</v>
      </c>
      <c r="H25" s="24" t="e">
        <f t="shared" si="0"/>
        <v>#REF!</v>
      </c>
      <c r="I25" s="25">
        <f>+IF($E$9="SI",ROUND(SUMIFS([1]!CET[CET_0 '[US$/MWh']],[1]!CET[LICITACION],$E$8,[1]!CET[Distribuidora],Resultados[[#This Row],[Distribuidora]])*Resultados[[#This Row],[Fmodulacion E]]*$E$7/$E$11,3),0)</f>
        <v>0</v>
      </c>
      <c r="J25" s="25" t="e">
        <f>+ROUND($E$6*(Resultados[[#This Row],[Energia indexada '[US$/MWh']]]-Resultados[[#This Row],[CET Indexado modulado '[US$/MWh']]])*$I$4/1000,3)</f>
        <v>#REF!</v>
      </c>
      <c r="K25" s="25" t="e">
        <f>ROUND($E$6*$I$5*Resultados[[#This Row],[Potencia indexada '[US$/kWh']]],3)</f>
        <v>#REF!</v>
      </c>
    </row>
    <row r="26" spans="3:11" hidden="1" x14ac:dyDescent="0.3">
      <c r="C26" t="e" cm="1">
        <f t="array" ref="C26">INDEX([1]!Ptos_compra[Distribuidora],ROW()-ROW(Resultados[[#Headers],[Distribuidora]]))</f>
        <v>#REF!</v>
      </c>
      <c r="D26" t="e" cm="1">
        <f t="array" ref="D26">INDEX([1]!Ptos_compra[Barra de compra],ROW()-ROW(Resultados[[#Headers],[Punto Compra]]))</f>
        <v>#REF!</v>
      </c>
      <c r="E26" s="24" t="e">
        <f>+VLOOKUP(Resultados[[#This Row],[Punto Compra]],[1]!Factormod[#Data],5,FALSE)</f>
        <v>#REF!</v>
      </c>
      <c r="F26" s="24" t="e">
        <f>+VLOOKUP(Resultados[[#This Row],[Punto Compra]],[1]!Factormod[#Data],4,FALSE)</f>
        <v>#REF!</v>
      </c>
      <c r="G26" s="25" t="e">
        <f>ROUND($E$3*$E$7/$E$10*Resultados[[#This Row],[Fmodulacion E]],3)</f>
        <v>#REF!</v>
      </c>
      <c r="H26" s="24" t="e">
        <f t="shared" si="0"/>
        <v>#REF!</v>
      </c>
      <c r="I26" s="25">
        <f>+IF($E$9="SI",ROUND(SUMIFS([1]!CET[CET_0 '[US$/MWh']],[1]!CET[LICITACION],$E$8,[1]!CET[Distribuidora],Resultados[[#This Row],[Distribuidora]])*Resultados[[#This Row],[Fmodulacion E]]*$E$7/$E$11,3),0)</f>
        <v>0</v>
      </c>
      <c r="J26" s="25" t="e">
        <f>+ROUND($E$6*(Resultados[[#This Row],[Energia indexada '[US$/MWh']]]-Resultados[[#This Row],[CET Indexado modulado '[US$/MWh']]])*$I$4/1000,3)</f>
        <v>#REF!</v>
      </c>
      <c r="K26" s="25" t="e">
        <f>ROUND($E$6*$I$5*Resultados[[#This Row],[Potencia indexada '[US$/kWh']]],3)</f>
        <v>#REF!</v>
      </c>
    </row>
    <row r="27" spans="3:11" hidden="1" x14ac:dyDescent="0.3">
      <c r="C27" t="e" cm="1">
        <f t="array" ref="C27">INDEX([1]!Ptos_compra[Distribuidora],ROW()-ROW(Resultados[[#Headers],[Distribuidora]]))</f>
        <v>#REF!</v>
      </c>
      <c r="D27" t="e" cm="1">
        <f t="array" ref="D27">INDEX([1]!Ptos_compra[Barra de compra],ROW()-ROW(Resultados[[#Headers],[Punto Compra]]))</f>
        <v>#REF!</v>
      </c>
      <c r="E27" s="24" t="e">
        <f>+VLOOKUP(Resultados[[#This Row],[Punto Compra]],[1]!Factormod[#Data],5,FALSE)</f>
        <v>#REF!</v>
      </c>
      <c r="F27" s="24" t="e">
        <f>+VLOOKUP(Resultados[[#This Row],[Punto Compra]],[1]!Factormod[#Data],4,FALSE)</f>
        <v>#REF!</v>
      </c>
      <c r="G27" s="25" t="e">
        <f>ROUND($E$3*$E$7/$E$10*Resultados[[#This Row],[Fmodulacion E]],3)</f>
        <v>#REF!</v>
      </c>
      <c r="H27" s="24" t="e">
        <f t="shared" si="0"/>
        <v>#REF!</v>
      </c>
      <c r="I27" s="25">
        <f>+IF($E$9="SI",ROUND(SUMIFS([1]!CET[CET_0 '[US$/MWh']],[1]!CET[LICITACION],$E$8,[1]!CET[Distribuidora],Resultados[[#This Row],[Distribuidora]])*Resultados[[#This Row],[Fmodulacion E]]*$E$7/$E$11,3),0)</f>
        <v>0</v>
      </c>
      <c r="J27" s="25" t="e">
        <f>+ROUND($E$6*(Resultados[[#This Row],[Energia indexada '[US$/MWh']]]-Resultados[[#This Row],[CET Indexado modulado '[US$/MWh']]])*$I$4/1000,3)</f>
        <v>#REF!</v>
      </c>
      <c r="K27" s="25" t="e">
        <f>ROUND($E$6*$I$5*Resultados[[#This Row],[Potencia indexada '[US$/kWh']]],3)</f>
        <v>#REF!</v>
      </c>
    </row>
    <row r="28" spans="3:11" hidden="1" x14ac:dyDescent="0.3">
      <c r="C28" t="e" cm="1">
        <f t="array" ref="C28">INDEX([1]!Ptos_compra[Distribuidora],ROW()-ROW(Resultados[[#Headers],[Distribuidora]]))</f>
        <v>#REF!</v>
      </c>
      <c r="D28" t="e" cm="1">
        <f t="array" ref="D28">INDEX([1]!Ptos_compra[Barra de compra],ROW()-ROW(Resultados[[#Headers],[Punto Compra]]))</f>
        <v>#REF!</v>
      </c>
      <c r="E28" s="24" t="e">
        <f>+VLOOKUP(Resultados[[#This Row],[Punto Compra]],[1]!Factormod[#Data],5,FALSE)</f>
        <v>#REF!</v>
      </c>
      <c r="F28" s="24" t="e">
        <f>+VLOOKUP(Resultados[[#This Row],[Punto Compra]],[1]!Factormod[#Data],4,FALSE)</f>
        <v>#REF!</v>
      </c>
      <c r="G28" s="25" t="e">
        <f>ROUND($E$3*$E$7/$E$10*Resultados[[#This Row],[Fmodulacion E]],3)</f>
        <v>#REF!</v>
      </c>
      <c r="H28" s="24" t="e">
        <f t="shared" si="0"/>
        <v>#REF!</v>
      </c>
      <c r="I28" s="25">
        <f>+IF($E$9="SI",ROUND(SUMIFS([1]!CET[CET_0 '[US$/MWh']],[1]!CET[LICITACION],$E$8,[1]!CET[Distribuidora],Resultados[[#This Row],[Distribuidora]])*Resultados[[#This Row],[Fmodulacion E]]*$E$7/$E$11,3),0)</f>
        <v>0</v>
      </c>
      <c r="J28" s="25" t="e">
        <f>+ROUND($E$6*(Resultados[[#This Row],[Energia indexada '[US$/MWh']]]-Resultados[[#This Row],[CET Indexado modulado '[US$/MWh']]])*$I$4/1000,3)</f>
        <v>#REF!</v>
      </c>
      <c r="K28" s="25" t="e">
        <f>ROUND($E$6*$I$5*Resultados[[#This Row],[Potencia indexada '[US$/kWh']]],3)</f>
        <v>#REF!</v>
      </c>
    </row>
    <row r="29" spans="3:11" hidden="1" x14ac:dyDescent="0.3">
      <c r="C29" t="e" cm="1">
        <f t="array" ref="C29">INDEX([1]!Ptos_compra[Distribuidora],ROW()-ROW(Resultados[[#Headers],[Distribuidora]]))</f>
        <v>#REF!</v>
      </c>
      <c r="D29" t="e" cm="1">
        <f t="array" ref="D29">INDEX([1]!Ptos_compra[Barra de compra],ROW()-ROW(Resultados[[#Headers],[Punto Compra]]))</f>
        <v>#REF!</v>
      </c>
      <c r="E29" s="24" t="e">
        <f>+VLOOKUP(Resultados[[#This Row],[Punto Compra]],[1]!Factormod[#Data],5,FALSE)</f>
        <v>#REF!</v>
      </c>
      <c r="F29" s="24" t="e">
        <f>+VLOOKUP(Resultados[[#This Row],[Punto Compra]],[1]!Factormod[#Data],4,FALSE)</f>
        <v>#REF!</v>
      </c>
      <c r="G29" s="25" t="e">
        <f>ROUND($E$3*$E$7/$E$10*Resultados[[#This Row],[Fmodulacion E]],3)</f>
        <v>#REF!</v>
      </c>
      <c r="H29" s="24" t="e">
        <f t="shared" si="0"/>
        <v>#REF!</v>
      </c>
      <c r="I29" s="25">
        <f>+IF($E$9="SI",ROUND(SUMIFS([1]!CET[CET_0 '[US$/MWh']],[1]!CET[LICITACION],$E$8,[1]!CET[Distribuidora],Resultados[[#This Row],[Distribuidora]])*Resultados[[#This Row],[Fmodulacion E]]*$E$7/$E$11,3),0)</f>
        <v>0</v>
      </c>
      <c r="J29" s="25" t="e">
        <f>+ROUND($E$6*(Resultados[[#This Row],[Energia indexada '[US$/MWh']]]-Resultados[[#This Row],[CET Indexado modulado '[US$/MWh']]])*$I$4/1000,3)</f>
        <v>#REF!</v>
      </c>
      <c r="K29" s="25" t="e">
        <f>ROUND($E$6*$I$5*Resultados[[#This Row],[Potencia indexada '[US$/kWh']]],3)</f>
        <v>#REF!</v>
      </c>
    </row>
    <row r="30" spans="3:11" hidden="1" x14ac:dyDescent="0.3">
      <c r="C30" t="e" cm="1">
        <f t="array" ref="C30">INDEX([1]!Ptos_compra[Distribuidora],ROW()-ROW(Resultados[[#Headers],[Distribuidora]]))</f>
        <v>#REF!</v>
      </c>
      <c r="D30" t="e" cm="1">
        <f t="array" ref="D30">INDEX([1]!Ptos_compra[Barra de compra],ROW()-ROW(Resultados[[#Headers],[Punto Compra]]))</f>
        <v>#REF!</v>
      </c>
      <c r="E30" s="24" t="e">
        <f>+VLOOKUP(Resultados[[#This Row],[Punto Compra]],[1]!Factormod[#Data],5,FALSE)</f>
        <v>#REF!</v>
      </c>
      <c r="F30" s="24" t="e">
        <f>+VLOOKUP(Resultados[[#This Row],[Punto Compra]],[1]!Factormod[#Data],4,FALSE)</f>
        <v>#REF!</v>
      </c>
      <c r="G30" s="25" t="e">
        <f>ROUND($E$3*$E$7/$E$10*Resultados[[#This Row],[Fmodulacion E]],3)</f>
        <v>#REF!</v>
      </c>
      <c r="H30" s="24" t="e">
        <f t="shared" si="0"/>
        <v>#REF!</v>
      </c>
      <c r="I30" s="25">
        <f>+IF($E$9="SI",ROUND(SUMIFS([1]!CET[CET_0 '[US$/MWh']],[1]!CET[LICITACION],$E$8,[1]!CET[Distribuidora],Resultados[[#This Row],[Distribuidora]])*Resultados[[#This Row],[Fmodulacion E]]*$E$7/$E$11,3),0)</f>
        <v>0</v>
      </c>
      <c r="J30" s="25" t="e">
        <f>+ROUND($E$6*(Resultados[[#This Row],[Energia indexada '[US$/MWh']]]-Resultados[[#This Row],[CET Indexado modulado '[US$/MWh']]])*$I$4/1000,3)</f>
        <v>#REF!</v>
      </c>
      <c r="K30" s="25" t="e">
        <f>ROUND($E$6*$I$5*Resultados[[#This Row],[Potencia indexada '[US$/kWh']]],3)</f>
        <v>#REF!</v>
      </c>
    </row>
    <row r="31" spans="3:11" hidden="1" x14ac:dyDescent="0.3">
      <c r="C31" t="e" cm="1">
        <f t="array" ref="C31">INDEX([1]!Ptos_compra[Distribuidora],ROW()-ROW(Resultados[[#Headers],[Distribuidora]]))</f>
        <v>#REF!</v>
      </c>
      <c r="D31" t="e" cm="1">
        <f t="array" ref="D31">INDEX([1]!Ptos_compra[Barra de compra],ROW()-ROW(Resultados[[#Headers],[Punto Compra]]))</f>
        <v>#REF!</v>
      </c>
      <c r="E31" s="24" t="e">
        <f>+VLOOKUP(Resultados[[#This Row],[Punto Compra]],[1]!Factormod[#Data],5,FALSE)</f>
        <v>#REF!</v>
      </c>
      <c r="F31" s="24" t="e">
        <f>+VLOOKUP(Resultados[[#This Row],[Punto Compra]],[1]!Factormod[#Data],4,FALSE)</f>
        <v>#REF!</v>
      </c>
      <c r="G31" s="25" t="e">
        <f>ROUND($E$3*$E$7/$E$10*Resultados[[#This Row],[Fmodulacion E]],3)</f>
        <v>#REF!</v>
      </c>
      <c r="H31" s="24" t="e">
        <f t="shared" si="0"/>
        <v>#REF!</v>
      </c>
      <c r="I31" s="25">
        <f>+IF($E$9="SI",ROUND(SUMIFS([1]!CET[CET_0 '[US$/MWh']],[1]!CET[LICITACION],$E$8,[1]!CET[Distribuidora],Resultados[[#This Row],[Distribuidora]])*Resultados[[#This Row],[Fmodulacion E]]*$E$7/$E$11,3),0)</f>
        <v>0</v>
      </c>
      <c r="J31" s="25" t="e">
        <f>+ROUND($E$6*(Resultados[[#This Row],[Energia indexada '[US$/MWh']]]-Resultados[[#This Row],[CET Indexado modulado '[US$/MWh']]])*$I$4/1000,3)</f>
        <v>#REF!</v>
      </c>
      <c r="K31" s="25" t="e">
        <f>ROUND($E$6*$I$5*Resultados[[#This Row],[Potencia indexada '[US$/kWh']]],3)</f>
        <v>#REF!</v>
      </c>
    </row>
    <row r="32" spans="3:11" hidden="1" x14ac:dyDescent="0.3">
      <c r="C32" t="e" cm="1">
        <f t="array" ref="C32">INDEX([1]!Ptos_compra[Distribuidora],ROW()-ROW(Resultados[[#Headers],[Distribuidora]]))</f>
        <v>#REF!</v>
      </c>
      <c r="D32" t="e" cm="1">
        <f t="array" ref="D32">INDEX([1]!Ptos_compra[Barra de compra],ROW()-ROW(Resultados[[#Headers],[Punto Compra]]))</f>
        <v>#REF!</v>
      </c>
      <c r="E32" s="24" t="e">
        <f>+VLOOKUP(Resultados[[#This Row],[Punto Compra]],[1]!Factormod[#Data],5,FALSE)</f>
        <v>#REF!</v>
      </c>
      <c r="F32" s="24" t="e">
        <f>+VLOOKUP(Resultados[[#This Row],[Punto Compra]],[1]!Factormod[#Data],4,FALSE)</f>
        <v>#REF!</v>
      </c>
      <c r="G32" s="25" t="e">
        <f>ROUND($E$3*$E$7/$E$10*Resultados[[#This Row],[Fmodulacion E]],3)</f>
        <v>#REF!</v>
      </c>
      <c r="H32" s="24" t="e">
        <f t="shared" si="0"/>
        <v>#REF!</v>
      </c>
      <c r="I32" s="25">
        <f>+IF($E$9="SI",ROUND(SUMIFS([1]!CET[CET_0 '[US$/MWh']],[1]!CET[LICITACION],$E$8,[1]!CET[Distribuidora],Resultados[[#This Row],[Distribuidora]])*Resultados[[#This Row],[Fmodulacion E]]*$E$7/$E$11,3),0)</f>
        <v>0</v>
      </c>
      <c r="J32" s="25" t="e">
        <f>+ROUND($E$6*(Resultados[[#This Row],[Energia indexada '[US$/MWh']]]-Resultados[[#This Row],[CET Indexado modulado '[US$/MWh']]])*$I$4/1000,3)</f>
        <v>#REF!</v>
      </c>
      <c r="K32" s="25" t="e">
        <f>ROUND($E$6*$I$5*Resultados[[#This Row],[Potencia indexada '[US$/kWh']]],3)</f>
        <v>#REF!</v>
      </c>
    </row>
    <row r="33" spans="3:11" x14ac:dyDescent="0.3">
      <c r="C33" t="s">
        <v>48</v>
      </c>
      <c r="D33" t="s">
        <v>5</v>
      </c>
      <c r="E33" s="24">
        <v>1</v>
      </c>
      <c r="F33" s="24">
        <v>1</v>
      </c>
      <c r="G33" s="25">
        <v>52.657920327345749</v>
      </c>
      <c r="H33" s="24">
        <v>9.4358703835451507</v>
      </c>
      <c r="I33" s="25">
        <v>0</v>
      </c>
      <c r="J33" s="25">
        <v>39.183</v>
      </c>
      <c r="K33" s="24">
        <v>7021.2312000000002</v>
      </c>
    </row>
    <row r="34" spans="3:11" x14ac:dyDescent="0.3">
      <c r="C34" t="s">
        <v>48</v>
      </c>
      <c r="D34" t="s">
        <v>6</v>
      </c>
      <c r="E34" s="24">
        <v>1.0122</v>
      </c>
      <c r="F34" s="24">
        <v>1.0114000000000001</v>
      </c>
      <c r="G34" s="25">
        <v>53.300346955339364</v>
      </c>
      <c r="H34" s="24">
        <v>9.5434393059175662</v>
      </c>
      <c r="I34" s="25">
        <v>0</v>
      </c>
      <c r="J34" s="25">
        <v>39.661000000000001</v>
      </c>
      <c r="K34" s="24">
        <v>7101.2731999999996</v>
      </c>
    </row>
    <row r="35" spans="3:11" x14ac:dyDescent="0.3">
      <c r="C35" t="s">
        <v>48</v>
      </c>
      <c r="D35" t="s">
        <v>7</v>
      </c>
      <c r="E35" s="24">
        <v>1.0125</v>
      </c>
      <c r="F35" s="24">
        <v>1.0127999999999999</v>
      </c>
      <c r="G35" s="25">
        <v>53.31614433143757</v>
      </c>
      <c r="H35" s="24">
        <v>9.556649524454528</v>
      </c>
      <c r="I35" s="25">
        <v>0</v>
      </c>
      <c r="J35" s="25">
        <v>39.673000000000002</v>
      </c>
      <c r="K35" s="24">
        <v>7111.1028999999999</v>
      </c>
    </row>
    <row r="36" spans="3:11" x14ac:dyDescent="0.3">
      <c r="C36" t="s">
        <v>48</v>
      </c>
      <c r="D36" t="s">
        <v>8</v>
      </c>
      <c r="E36" s="24">
        <v>1.0737000000000001</v>
      </c>
      <c r="F36" s="24">
        <v>0.99099999999999999</v>
      </c>
      <c r="G36" s="25">
        <v>56.538809055471134</v>
      </c>
      <c r="H36" s="24">
        <v>9.3509475500932435</v>
      </c>
      <c r="I36" s="25">
        <v>0</v>
      </c>
      <c r="J36" s="25">
        <v>42.070999999999998</v>
      </c>
      <c r="K36" s="24">
        <v>6958.0401000000002</v>
      </c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497C7D2B-F290-47D8-B2D7-33F1F20DAB8D}">
      <formula1>"SI,NO"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Montos Facturar</vt:lpstr>
      <vt:lpstr>EEPA</vt:lpstr>
      <vt:lpstr>Px_2015_02</vt:lpstr>
      <vt:lpstr>Px_2015_01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catalina sepulveda</cp:lastModifiedBy>
  <dcterms:created xsi:type="dcterms:W3CDTF">2015-06-05T18:19:34Z</dcterms:created>
  <dcterms:modified xsi:type="dcterms:W3CDTF">2022-04-08T13:51:48Z</dcterms:modified>
</cp:coreProperties>
</file>