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7-Julio\"/>
    </mc:Choice>
  </mc:AlternateContent>
  <xr:revisionPtr revIDLastSave="0" documentId="13_ncr:1_{5AA7678F-C485-4563-BA9F-15ADB158D7F1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OPELAN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E6" i="1" l="1"/>
  <c r="E7" i="1"/>
  <c r="D6" i="1"/>
  <c r="D7" i="1"/>
  <c r="E5" i="1"/>
  <c r="D5" i="1"/>
  <c r="H5" i="1" l="1" a="1"/>
  <c r="H5" i="1" s="1"/>
  <c r="I5" i="1" s="1"/>
  <c r="G7" i="1"/>
  <c r="J7" i="1" s="1"/>
  <c r="G6" i="1"/>
  <c r="J6" i="1" s="1"/>
  <c r="J5" i="1"/>
  <c r="H7" i="1" a="1"/>
  <c r="H7" i="1" s="1"/>
  <c r="I7" i="1" s="1"/>
  <c r="H6" i="1"/>
  <c r="I6" i="1" s="1"/>
  <c r="L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<sst xmlns="http://schemas.openxmlformats.org/spreadsheetml/2006/main" count="106" uniqueCount="71">
  <si>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</si>
  <si>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</si>
  <si>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</si>
  <si>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</si>
  <si>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</si>
  <si>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</si>
  <si>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</si>
  <si>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</si>
  <si>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</si>
  <si>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</si>
  <si>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</si>
  <si>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</si>
  <si>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</si>
  <si>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</si>
  <si>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</si>
  <si>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</si>
  <si>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</si>
  <si>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</si>
  <si>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</si>
  <si>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</si>
  <si>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</si>
  <si>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</si>
  <si>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</si>
  <si>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</si>
  <si>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</si>
  <si>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</si>
  <si>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</si>
  <si>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</si>
  <si>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</si>
  <si>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</si>
  <si>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</si>
  <si>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</si>
  <si>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</si>
  <si>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</si>
  <si>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</si>
  <si>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</si>
  <si>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</si>
  <si>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</si>
  <si>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</si>
  <si>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</si>
  <si>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</si>
  <si>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</si>
  <si>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</si>
  <si>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</si>
  <si>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</si>
  <si>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</si>
  <si>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</si>
  <si>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</si>
  <si>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</si>
  <si>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</si>
  <si>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</si>
  <si>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</si>
  <si>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</si>
  <si>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</si>
  <si>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</si>
  <si>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</si>
  <si>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2015/01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</si>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</sst>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4" fontId="0" fillId="0" borderId="0" xfId="1" applyFont="1"/>
    <xf numFmtId="167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68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8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4" borderId="2" xfId="0" applyFont="1" applyFill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right"/>
    </xf>
    <xf numFmtId="3" fontId="0" fillId="0" borderId="4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/>
    <xf numFmtId="0" fontId="0" fillId="0" borderId="2" xfId="0" applyBorder="1" applyAlignment="1">
      <alignment horizontal="right"/>
    </xf>
    <xf numFmtId="3" fontId="0" fillId="0" borderId="2" xfId="0" applyNumberFormat="1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14" fillId="0" borderId="16" xfId="0" applyNumberFormat="1" applyFont="1" applyBorder="1" applyAlignment="1">
      <alignment horizontal="right" vertical="center"/>
    </xf>
    <xf numFmtId="0" fontId="0" fillId="0" borderId="1" xfId="0" applyBorder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J18" sqref="J18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7"/>
      <c r="G2" s="47"/>
      <c r="H2" s="48"/>
      <c r="I2" s="105" t="s">
        <v>13</v>
      </c>
      <c r="J2" s="106"/>
      <c r="K2" s="106"/>
      <c r="L2" s="107"/>
      <c r="N2" s="81" t="s">
        <v>45</v>
      </c>
      <c r="O2" s="81"/>
    </row>
    <row r="3" spans="1:15" ht="14.4" x14ac:dyDescent="0.3">
      <c r="A3" s="108" t="s">
        <v>12</v>
      </c>
      <c r="B3" s="110" t="s">
        <v>0</v>
      </c>
      <c r="C3" s="112" t="s">
        <v>1</v>
      </c>
      <c r="D3" s="57" t="s">
        <v>2</v>
      </c>
      <c r="E3" s="56" t="s">
        <v>3</v>
      </c>
      <c r="F3" s="26" t="s">
        <v>38</v>
      </c>
      <c r="G3" s="1" t="s">
        <v>4</v>
      </c>
      <c r="H3" s="2" t="s">
        <v>5</v>
      </c>
      <c r="I3" s="46" t="s">
        <v>29</v>
      </c>
      <c r="J3" s="45" t="s">
        <v>4</v>
      </c>
      <c r="K3" s="45" t="s">
        <v>28</v>
      </c>
      <c r="L3" s="43" t="s">
        <v>38</v>
      </c>
      <c r="N3" s="8" t="s">
        <v>49</v>
      </c>
      <c r="O3" s="8" t="s">
        <v>54</v>
      </c>
    </row>
    <row r="4" spans="1:15" x14ac:dyDescent="0.25">
      <c r="A4" s="109"/>
      <c r="B4" s="111"/>
      <c r="C4" s="113"/>
      <c r="D4" s="46" t="s">
        <v>6</v>
      </c>
      <c r="E4" s="43" t="s">
        <v>7</v>
      </c>
      <c r="F4" s="27" t="s">
        <v>42</v>
      </c>
      <c r="G4" s="3" t="s">
        <v>44</v>
      </c>
      <c r="H4" s="4" t="s">
        <v>8</v>
      </c>
      <c r="I4" s="60" t="s">
        <v>11</v>
      </c>
      <c r="J4" s="58" t="s">
        <v>11</v>
      </c>
      <c r="K4" s="58" t="s">
        <v>11</v>
      </c>
      <c r="L4" s="59" t="s">
        <v>11</v>
      </c>
      <c r="N4" s="84" t="str">
        <f>"Active Energy: "&amp;TEXT(H8*1000,"#,###")&amp;" kWh"</f>
        <v>Active Energy: 27,542 kWh</v>
      </c>
      <c r="O4" s="85">
        <f>I8</f>
        <v>1025836</v>
      </c>
    </row>
    <row r="5" spans="1:15" x14ac:dyDescent="0.25">
      <c r="A5" t="s">
        <v>54</v>
      </c>
      <c r="B5" s="5" t="s">
        <v>57</v>
      </c>
      <c r="C5" s="5" t="s">
        <v>33</v>
      </c>
      <c r="D5" s="99">
        <f>VLOOKUP($C5,Px!$D$16:$K$18,8,0)</f>
        <v>5891.5150999999996</v>
      </c>
      <c r="E5" s="63">
        <f>VLOOKUP($C5,Px!$D$16:$K$18,7,0)</f>
        <v>36.408999999999999</v>
      </c>
      <c r="F5" s="63"/>
      <c r="G5" s="6">
        <f>+COOPELAN!M6/1000</f>
        <v>4.6839779757064208E-3</v>
      </c>
      <c r="H5" s="65" cm="1">
        <f t="array" ref="H5">SUM(COOPELAN!C6:E6/1000)</f>
        <v>2.4201399917726292</v>
      </c>
      <c r="I5" s="67">
        <f>ROUND(H5*E5*1000,0)</f>
        <v>88115</v>
      </c>
      <c r="J5" s="68">
        <f>ROUND(G5*D5*1000,0)</f>
        <v>27596</v>
      </c>
      <c r="K5" s="68"/>
      <c r="L5" s="69">
        <f t="shared" ref="L5:L7" si="0">H5*F5*1000</f>
        <v>0</v>
      </c>
      <c r="N5" s="86" t="str">
        <f>"Capacity: "&amp;TEXT(G8*1000,"###")&amp;" kW"</f>
        <v>Capacity: 55 kW</v>
      </c>
      <c r="O5" s="87">
        <f>J8</f>
        <v>316576</v>
      </c>
    </row>
    <row r="6" spans="1:15" x14ac:dyDescent="0.25">
      <c r="A6" t="s">
        <v>54</v>
      </c>
      <c r="B6" t="s">
        <v>57</v>
      </c>
      <c r="C6" s="96" t="s">
        <v>53</v>
      </c>
      <c r="D6" s="100">
        <f>VLOOKUP($C6,Px!$D$16:$K$18,8,0)</f>
        <v>5798.8347999999996</v>
      </c>
      <c r="E6" s="64">
        <f>VLOOKUP($C6,Px!$D$16:$K$18,7,0)</f>
        <v>37.365000000000002</v>
      </c>
      <c r="F6" s="64"/>
      <c r="G6" s="7">
        <f>+COOPELAN!N6/1000</f>
        <v>4.8326348078538167E-2</v>
      </c>
      <c r="H6" s="66">
        <f>SUM(COOPELAN!F6:H6)/1000</f>
        <v>24.358361802202168</v>
      </c>
      <c r="I6" s="70">
        <f>ROUND(H6*E6*1000,0)</f>
        <v>910150</v>
      </c>
      <c r="J6" s="71">
        <f>ROUND(G6*D6*1000,0)</f>
        <v>280237</v>
      </c>
      <c r="K6" s="71"/>
      <c r="L6" s="72">
        <f t="shared" si="0"/>
        <v>0</v>
      </c>
      <c r="N6" s="86" t="s">
        <v>10</v>
      </c>
      <c r="O6" s="87">
        <f>K8</f>
        <v>0</v>
      </c>
    </row>
    <row r="7" spans="1:15" x14ac:dyDescent="0.25">
      <c r="A7" t="s">
        <v>54</v>
      </c>
      <c r="B7" t="s">
        <v>57</v>
      </c>
      <c r="C7" s="96" t="s">
        <v>55</v>
      </c>
      <c r="D7" s="101">
        <f>VLOOKUP($C7,Px!$D$16:$K$18,8,0)</f>
        <v>5774.9625999999998</v>
      </c>
      <c r="E7" s="102">
        <f>VLOOKUP($C7,Px!$D$16:$K$18,7,0)</f>
        <v>36.091000000000001</v>
      </c>
      <c r="F7" s="64"/>
      <c r="G7" s="7">
        <f>+COOPELAN!O6/1000</f>
        <v>1.5138881669976029E-3</v>
      </c>
      <c r="H7" s="66" cm="1">
        <f t="array" ref="H7">SUM(COOPELAN!I6:K6/1000)</f>
        <v>0.76392111861815382</v>
      </c>
      <c r="I7" s="70">
        <f>ROUND(H7*E7*1000,0)</f>
        <v>27571</v>
      </c>
      <c r="J7" s="71">
        <f>ROUND(G7*D7*1000,0)</f>
        <v>8743</v>
      </c>
      <c r="K7" s="71"/>
      <c r="L7" s="72">
        <f t="shared" si="0"/>
        <v>0</v>
      </c>
      <c r="N7" s="88" t="s">
        <v>38</v>
      </c>
      <c r="O7" s="89">
        <f>L8</f>
        <v>0</v>
      </c>
    </row>
    <row r="8" spans="1:15" ht="14.4" x14ac:dyDescent="0.3">
      <c r="A8" s="14"/>
      <c r="B8" s="14"/>
      <c r="C8" s="14"/>
      <c r="D8" s="97"/>
      <c r="E8" s="98"/>
      <c r="F8" s="76" t="s">
        <v>9</v>
      </c>
      <c r="G8" s="77">
        <f t="shared" ref="G8:L8" si="1">SUM(G5:G7)</f>
        <v>5.4524214221242193E-2</v>
      </c>
      <c r="H8" s="79">
        <f t="shared" si="1"/>
        <v>27.542422912592951</v>
      </c>
      <c r="I8" s="78">
        <f t="shared" si="1"/>
        <v>1025836</v>
      </c>
      <c r="J8" s="78">
        <f t="shared" si="1"/>
        <v>316576</v>
      </c>
      <c r="K8" s="78">
        <f t="shared" si="1"/>
        <v>0</v>
      </c>
      <c r="L8" s="75">
        <f t="shared" si="1"/>
        <v>0</v>
      </c>
      <c r="N8" s="11" t="s">
        <v>9</v>
      </c>
      <c r="O8" s="12">
        <f>SUM(O4:O7)</f>
        <v>1342412</v>
      </c>
    </row>
    <row r="10" spans="1:15" x14ac:dyDescent="0.25">
      <c r="E10" s="9" t="s">
        <v>47</v>
      </c>
      <c r="F10" t="s">
        <v>48</v>
      </c>
      <c r="L10" s="104"/>
      <c r="M10" s="73"/>
    </row>
    <row r="14" spans="1:15" ht="13.8" x14ac:dyDescent="0.25">
      <c r="I14" s="55"/>
    </row>
    <row r="21" spans="1:1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5" x14ac:dyDescent="0.25">
      <c r="N22" s="13"/>
      <c r="O22" s="13"/>
    </row>
    <row r="23" spans="1:15" x14ac:dyDescent="0.25">
      <c r="I23" s="10"/>
      <c r="J23" s="10"/>
    </row>
    <row r="24" spans="1:15" s="13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6"/>
  <sheetViews>
    <sheetView workbookViewId="0">
      <selection activeCell="M6" sqref="M6:O6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2" t="s">
        <v>56</v>
      </c>
    </row>
    <row r="3" spans="1:19" ht="15" thickBot="1" x14ac:dyDescent="0.35">
      <c r="A3" s="28" t="s">
        <v>34</v>
      </c>
      <c r="B3" s="28" t="s">
        <v>70</v>
      </c>
      <c r="C3" s="114" t="s">
        <v>35</v>
      </c>
      <c r="D3" s="115"/>
      <c r="E3" s="115"/>
      <c r="F3" s="115"/>
      <c r="G3" s="115"/>
      <c r="H3" s="115"/>
      <c r="I3" s="115"/>
      <c r="J3" s="115"/>
      <c r="K3" s="115"/>
      <c r="L3" s="116"/>
      <c r="M3" s="114" t="s">
        <v>19</v>
      </c>
      <c r="N3" s="115"/>
      <c r="O3" s="116"/>
      <c r="R3" s="29"/>
      <c r="S3" s="30"/>
    </row>
    <row r="4" spans="1:19" ht="15" thickBot="1" x14ac:dyDescent="0.35">
      <c r="C4" s="117" t="s">
        <v>50</v>
      </c>
      <c r="D4" s="117"/>
      <c r="E4" s="117"/>
      <c r="F4" s="117" t="s">
        <v>51</v>
      </c>
      <c r="G4" s="117"/>
      <c r="H4" s="117"/>
      <c r="I4" s="117" t="s">
        <v>52</v>
      </c>
      <c r="J4" s="117"/>
      <c r="K4" s="117"/>
      <c r="L4" s="118" t="s">
        <v>36</v>
      </c>
      <c r="M4" s="114" t="s">
        <v>37</v>
      </c>
      <c r="N4" s="115"/>
      <c r="O4" s="116"/>
      <c r="S4" s="31"/>
    </row>
    <row r="5" spans="1:19" ht="15" thickBot="1" x14ac:dyDescent="0.35">
      <c r="A5" s="32" t="s">
        <v>39</v>
      </c>
      <c r="B5" s="33" t="s">
        <v>40</v>
      </c>
      <c r="C5" s="34" t="s">
        <v>30</v>
      </c>
      <c r="D5" s="35" t="s">
        <v>31</v>
      </c>
      <c r="E5" s="36" t="s">
        <v>32</v>
      </c>
      <c r="F5" s="34" t="s">
        <v>30</v>
      </c>
      <c r="G5" s="35" t="s">
        <v>31</v>
      </c>
      <c r="H5" s="36" t="s">
        <v>32</v>
      </c>
      <c r="I5" s="34" t="s">
        <v>30</v>
      </c>
      <c r="J5" s="35" t="s">
        <v>31</v>
      </c>
      <c r="K5" s="36" t="s">
        <v>32</v>
      </c>
      <c r="L5" s="119"/>
      <c r="M5" s="37" t="s">
        <v>50</v>
      </c>
      <c r="N5" s="38" t="s">
        <v>51</v>
      </c>
      <c r="O5" s="38" t="s">
        <v>52</v>
      </c>
      <c r="S5" s="31"/>
    </row>
    <row r="6" spans="1:19" ht="14.4" x14ac:dyDescent="0.3">
      <c r="A6" s="39" t="s">
        <v>41</v>
      </c>
      <c r="B6" s="40" t="s">
        <v>57</v>
      </c>
      <c r="C6" s="51">
        <v>689.38785587854488</v>
      </c>
      <c r="D6" s="52">
        <v>1088.3090740496982</v>
      </c>
      <c r="E6" s="52">
        <v>642.44306184438608</v>
      </c>
      <c r="F6" s="52">
        <v>6803.480912671057</v>
      </c>
      <c r="G6" s="52">
        <v>10926.556164615802</v>
      </c>
      <c r="H6" s="52">
        <v>6628.3247249153092</v>
      </c>
      <c r="I6" s="52">
        <v>213.18587461111926</v>
      </c>
      <c r="J6" s="52">
        <v>343.09401376635577</v>
      </c>
      <c r="K6" s="53">
        <v>207.64123024067877</v>
      </c>
      <c r="L6" s="50">
        <f>SUM(C6:K6)</f>
        <v>27542.422912592952</v>
      </c>
      <c r="M6" s="103">
        <v>4.683977975706421</v>
      </c>
      <c r="N6" s="103">
        <v>48.326348078538167</v>
      </c>
      <c r="O6" s="103">
        <v>1.513888166997603</v>
      </c>
      <c r="P6" s="41"/>
      <c r="S6" s="42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6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64C5-1B80-4F2E-A90B-DA65E71950CD}">
  <dimension ref="C2:K18"/>
  <sheetViews>
    <sheetView workbookViewId="0">
      <selection activeCell="D18" sqref="D1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14</v>
      </c>
      <c r="D2" s="16"/>
      <c r="E2" s="16" t="s">
        <v>15</v>
      </c>
      <c r="F2" s="17" t="s">
        <v>16</v>
      </c>
    </row>
    <row r="3" spans="3:11" ht="13.8" x14ac:dyDescent="0.3">
      <c r="C3" s="19" t="s">
        <v>17</v>
      </c>
      <c r="D3" s="18" t="s">
        <v>18</v>
      </c>
      <c r="E3" s="18">
        <v>46.65</v>
      </c>
      <c r="F3" s="20" t="s">
        <v>58</v>
      </c>
      <c r="H3" s="120" t="s">
        <v>59</v>
      </c>
      <c r="I3" s="121"/>
    </row>
    <row r="4" spans="3:11" ht="13.8" x14ac:dyDescent="0.3">
      <c r="C4" s="21" t="s">
        <v>19</v>
      </c>
      <c r="D4" s="22" t="s">
        <v>20</v>
      </c>
      <c r="E4" s="22">
        <v>8.3592999999999993</v>
      </c>
      <c r="F4" s="23" t="s">
        <v>58</v>
      </c>
      <c r="H4" s="73" t="s">
        <v>60</v>
      </c>
      <c r="I4" s="90">
        <v>1</v>
      </c>
    </row>
    <row r="5" spans="3:11" ht="13.8" x14ac:dyDescent="0.3">
      <c r="C5" s="15" t="s">
        <v>14</v>
      </c>
      <c r="D5" s="16"/>
      <c r="E5" s="16" t="s">
        <v>15</v>
      </c>
      <c r="F5" s="17" t="s">
        <v>16</v>
      </c>
      <c r="H5" s="91" t="s">
        <v>19</v>
      </c>
      <c r="I5" s="92">
        <v>1</v>
      </c>
    </row>
    <row r="6" spans="3:11" ht="13.8" x14ac:dyDescent="0.3">
      <c r="C6" s="19" t="s">
        <v>21</v>
      </c>
      <c r="D6" s="18"/>
      <c r="E6" s="18">
        <v>744.1</v>
      </c>
      <c r="F6" s="83">
        <v>44562</v>
      </c>
    </row>
    <row r="7" spans="3:11" ht="13.8" x14ac:dyDescent="0.3">
      <c r="C7" s="19" t="s">
        <v>22</v>
      </c>
      <c r="D7" s="18"/>
      <c r="E7" s="74">
        <v>268.14</v>
      </c>
      <c r="F7" s="83">
        <v>44562</v>
      </c>
    </row>
    <row r="8" spans="3:11" ht="13.8" x14ac:dyDescent="0.3">
      <c r="C8" s="19" t="s">
        <v>61</v>
      </c>
      <c r="D8" s="18"/>
      <c r="E8" s="93" t="s">
        <v>56</v>
      </c>
      <c r="F8" s="20"/>
    </row>
    <row r="9" spans="3:11" ht="13.8" x14ac:dyDescent="0.3">
      <c r="C9" s="19" t="s">
        <v>62</v>
      </c>
      <c r="D9" s="18"/>
      <c r="E9" s="94" t="s">
        <v>63</v>
      </c>
      <c r="F9" s="20"/>
    </row>
    <row r="10" spans="3:11" ht="13.8" x14ac:dyDescent="0.3">
      <c r="C10" s="19" t="s">
        <v>64</v>
      </c>
      <c r="D10" s="18"/>
      <c r="E10" s="74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23</v>
      </c>
      <c r="D12" s="22"/>
      <c r="E12" s="25"/>
      <c r="F12" s="23" t="s">
        <v>66</v>
      </c>
    </row>
    <row r="15" spans="3:11" ht="41.4" x14ac:dyDescent="0.25">
      <c r="C15" s="44" t="s">
        <v>43</v>
      </c>
      <c r="D15" s="44" t="s">
        <v>24</v>
      </c>
      <c r="E15" s="95" t="s">
        <v>25</v>
      </c>
      <c r="F15" s="44" t="s">
        <v>46</v>
      </c>
      <c r="G15" s="44" t="s">
        <v>67</v>
      </c>
      <c r="H15" s="44" t="s">
        <v>68</v>
      </c>
      <c r="I15" s="44" t="s">
        <v>69</v>
      </c>
      <c r="J15" s="44" t="s">
        <v>26</v>
      </c>
      <c r="K15" s="44" t="s">
        <v>27</v>
      </c>
    </row>
    <row r="16" spans="3:11" x14ac:dyDescent="0.25">
      <c r="C16" t="s">
        <v>54</v>
      </c>
      <c r="D16" t="s">
        <v>33</v>
      </c>
      <c r="E16" s="80">
        <v>0.92920000000000003</v>
      </c>
      <c r="F16" s="80">
        <v>0.83909999999999996</v>
      </c>
      <c r="G16" s="49">
        <v>48.929739568169673</v>
      </c>
      <c r="H16" s="80">
        <v>7.9176388388327359</v>
      </c>
      <c r="I16" s="49">
        <v>0</v>
      </c>
      <c r="J16" s="49">
        <v>36.408999999999999</v>
      </c>
      <c r="K16" s="80">
        <v>5891.5150999999996</v>
      </c>
    </row>
    <row r="17" spans="3:11" x14ac:dyDescent="0.25">
      <c r="C17" t="s">
        <v>54</v>
      </c>
      <c r="D17" t="s">
        <v>51</v>
      </c>
      <c r="E17" s="80">
        <v>0.9536</v>
      </c>
      <c r="F17" s="80">
        <v>0.82589999999999997</v>
      </c>
      <c r="G17" s="49">
        <v>50.21459282415691</v>
      </c>
      <c r="H17" s="80">
        <v>7.7930853497699397</v>
      </c>
      <c r="I17" s="49">
        <v>0</v>
      </c>
      <c r="J17" s="49">
        <v>37.365000000000002</v>
      </c>
      <c r="K17" s="80">
        <v>5798.8347999999996</v>
      </c>
    </row>
    <row r="18" spans="3:11" x14ac:dyDescent="0.25">
      <c r="C18" t="s">
        <v>54</v>
      </c>
      <c r="D18" t="s">
        <v>55</v>
      </c>
      <c r="E18" s="80">
        <v>0.92110000000000003</v>
      </c>
      <c r="F18" s="80">
        <v>0.82250000000000001</v>
      </c>
      <c r="G18" s="49">
        <v>48.503210413518168</v>
      </c>
      <c r="H18" s="80">
        <v>7.7610033904658859</v>
      </c>
      <c r="I18" s="49">
        <v>0</v>
      </c>
      <c r="J18" s="49">
        <v>36.091000000000001</v>
      </c>
      <c r="K18" s="80">
        <v>5774.9625999999998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2022-07-08T14:08:19Z</dcterms:modified>
</cp:coreProperties>
</file>