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T:\Operación Comercial\Clientes\15_Aela_Generación\Disco Aela\15. Actividades Periodicas\2. CNE\6. Registo de contratos\2022\07-Julio\"/>
    </mc:Choice>
  </mc:AlternateContent>
  <xr:revisionPtr revIDLastSave="0" documentId="13_ncr:1_{E53F5304-9167-49E9-BB69-069CAAD29A72}" xr6:coauthVersionLast="47" xr6:coauthVersionMax="47" xr10:uidLastSave="{00000000-0000-0000-0000-000000000000}"/>
  <bookViews>
    <workbookView xWindow="-108" yWindow="-108" windowWidth="23256" windowHeight="12456" activeTab="2" xr2:uid="{F2358186-0BE2-4736-A654-4A2DCED7D6D4}"/>
  </bookViews>
  <sheets>
    <sheet name="Montos facturar" sheetId="1" r:id="rId1"/>
    <sheet name="COOPELAN" sheetId="3" r:id="rId2"/>
    <sheet name="Px" sheetId="4" r:id="rId3"/>
  </sheets>
  <externalReferences>
    <externalReference r:id="rId4"/>
  </externalReferences>
  <calcPr calcId="191029" calcMode="manual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12" i="4" l="1"/>
  <c r="E11" i="4"/>
  <c r="E10" i="4"/>
  <c r="E8" i="4"/>
  <c r="F4" i="4" s="1"/>
  <c r="F7" i="4"/>
  <c r="E7" i="4"/>
  <c r="F6" i="4"/>
  <c r="E6" i="4"/>
  <c r="I5" i="4"/>
  <c r="I4" i="4"/>
  <c r="E4" i="4"/>
  <c r="F3" i="4"/>
  <c r="E3" i="4"/>
  <c r="J11" i="1" l="1"/>
  <c r="G11" i="1"/>
  <c r="L6" i="3"/>
  <c r="L7" i="3"/>
  <c r="L8" i="3"/>
  <c r="E6" i="1"/>
  <c r="E7" i="1"/>
  <c r="E8" i="1"/>
  <c r="E9" i="1"/>
  <c r="E10" i="1"/>
  <c r="E11" i="1"/>
  <c r="E12" i="1"/>
  <c r="E13" i="1"/>
  <c r="D6" i="1"/>
  <c r="J6" i="1" s="1"/>
  <c r="D7" i="1"/>
  <c r="J7" i="1" s="1"/>
  <c r="D8" i="1"/>
  <c r="J8" i="1" s="1"/>
  <c r="D9" i="1"/>
  <c r="J9" i="1" s="1"/>
  <c r="D10" i="1"/>
  <c r="J10" i="1" s="1"/>
  <c r="D11" i="1"/>
  <c r="D12" i="1"/>
  <c r="D13" i="1"/>
  <c r="E5" i="1"/>
  <c r="D5" i="1"/>
  <c r="J5" i="1" s="1"/>
  <c r="G13" i="1" l="1"/>
  <c r="J13" i="1" s="1"/>
  <c r="G12" i="1"/>
  <c r="J12" i="1" s="1"/>
  <c r="H13" i="1"/>
  <c r="I13" i="1" s="1"/>
  <c r="H12" i="1"/>
  <c r="I12" i="1" s="1"/>
  <c r="H11" i="1"/>
  <c r="I11" i="1" s="1"/>
  <c r="H10" i="1"/>
  <c r="I10" i="1" s="1"/>
  <c r="H9" i="1"/>
  <c r="I9" i="1" s="1"/>
  <c r="H8" i="1"/>
  <c r="I8" i="1" s="1"/>
  <c r="H7" i="1"/>
  <c r="I7" i="1" s="1"/>
  <c r="H6" i="1"/>
  <c r="I6" i="1" s="1"/>
  <c r="H5" i="1"/>
  <c r="I5" i="1" s="1"/>
  <c r="G14" i="1" l="1"/>
  <c r="K14" i="1"/>
  <c r="O7" i="1" s="1"/>
  <c r="H14" i="1" l="1"/>
  <c r="N5" i="1" s="1"/>
  <c r="N6" i="1"/>
  <c r="L10" i="1"/>
  <c r="L9" i="1"/>
  <c r="L8" i="1"/>
  <c r="L12" i="1"/>
  <c r="L5" i="1"/>
  <c r="L13" i="1"/>
  <c r="L6" i="1"/>
  <c r="L7" i="1"/>
  <c r="L11" i="1"/>
  <c r="J14" i="1"/>
  <c r="O6" i="1" s="1"/>
  <c r="I14" i="1" l="1"/>
  <c r="O5" i="1" s="1"/>
  <c r="L14" i="1"/>
  <c r="O8" i="1" s="1"/>
  <c r="O9" i="1" l="1"/>
</calcChain>
</file>

<file path=xl/sharedStrings.xml><?xml version="1.0" encoding="utf-8"?>
<sst xmlns="http://schemas.openxmlformats.org/spreadsheetml/2006/main" count="124" uniqueCount="74">
  <si>
    <t>Bloque</t>
  </si>
  <si>
    <t>Barra</t>
  </si>
  <si>
    <t>PRECIO POTENCIA</t>
  </si>
  <si>
    <t>PRECIO ENERGÍA</t>
  </si>
  <si>
    <t>POTENCIA</t>
  </si>
  <si>
    <t>ENERGIA</t>
  </si>
  <si>
    <t>[$/kW/mes]</t>
  </si>
  <si>
    <t>[$/kWh]</t>
  </si>
  <si>
    <t>[MWh]</t>
  </si>
  <si>
    <t>BS4A</t>
  </si>
  <si>
    <t>BS4B</t>
  </si>
  <si>
    <t>BS4C</t>
  </si>
  <si>
    <t>Total</t>
  </si>
  <si>
    <t>Reactive Energy</t>
  </si>
  <si>
    <t>[$]</t>
  </si>
  <si>
    <t>Dx.</t>
  </si>
  <si>
    <t>Factura</t>
  </si>
  <si>
    <t>Concepto</t>
  </si>
  <si>
    <t>Valor</t>
  </si>
  <si>
    <t>Fuente</t>
  </si>
  <si>
    <t>Energia</t>
  </si>
  <si>
    <t>US$/MWh</t>
  </si>
  <si>
    <t>Potencia</t>
  </si>
  <si>
    <t>US$/kW/mes</t>
  </si>
  <si>
    <t>TC</t>
  </si>
  <si>
    <t>CPI</t>
  </si>
  <si>
    <t>Factores modulación</t>
  </si>
  <si>
    <t>Punto Compra</t>
  </si>
  <si>
    <t>Fmodulacion E</t>
  </si>
  <si>
    <t>Energia [$/kWh]</t>
  </si>
  <si>
    <t>Potencia [$/kWh]</t>
  </si>
  <si>
    <t>REACTIVO</t>
  </si>
  <si>
    <t>ENERGÍA</t>
  </si>
  <si>
    <t>A</t>
  </si>
  <si>
    <t>B</t>
  </si>
  <si>
    <t>C</t>
  </si>
  <si>
    <t>Charrua 220</t>
  </si>
  <si>
    <t>MES</t>
  </si>
  <si>
    <t>ENERGÍA (kwh)</t>
  </si>
  <si>
    <t>TOTAL ENERGÍA</t>
  </si>
  <si>
    <t>kW</t>
  </si>
  <si>
    <t>AAT</t>
  </si>
  <si>
    <t>Generador</t>
  </si>
  <si>
    <t>BLOQUE</t>
  </si>
  <si>
    <t>Aela Generación S.A.</t>
  </si>
  <si>
    <t>4-A</t>
  </si>
  <si>
    <t>4-B</t>
  </si>
  <si>
    <t>4-C</t>
  </si>
  <si>
    <t>[$/KWh]</t>
  </si>
  <si>
    <t>Distribuidora</t>
  </si>
  <si>
    <t xml:space="preserve">[MW] </t>
  </si>
  <si>
    <t>Facturación con Factor</t>
  </si>
  <si>
    <t>Fmodulacion P</t>
  </si>
  <si>
    <t xml:space="preserve">Nota: </t>
  </si>
  <si>
    <t>El Precio de la energía incluye el descuento por CET</t>
  </si>
  <si>
    <t>Conceptos</t>
  </si>
  <si>
    <t>CHARRUA 220</t>
  </si>
  <si>
    <t>CAUTIN 220</t>
  </si>
  <si>
    <t>TEMUCO 220</t>
  </si>
  <si>
    <t>Cautin 220</t>
  </si>
  <si>
    <t>COOPELAN</t>
  </si>
  <si>
    <t>Temuco 220</t>
  </si>
  <si>
    <t>2015/02</t>
  </si>
  <si>
    <t>Factor de ajuste</t>
  </si>
  <si>
    <t>Energía</t>
  </si>
  <si>
    <t>Licitación</t>
  </si>
  <si>
    <t>¿Se acoge a CET?</t>
  </si>
  <si>
    <t>SI</t>
  </si>
  <si>
    <t>CPI_0 Licitación</t>
  </si>
  <si>
    <t>CPI_0 CET</t>
  </si>
  <si>
    <t>Energia indexada [US$/MWh]</t>
  </si>
  <si>
    <t>Potencia indexada [US$/kWh]</t>
  </si>
  <si>
    <t>CET Indexado modulado [US$/MWh]</t>
  </si>
  <si>
    <t>Junio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</si>
</sst>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-* #,##0.00_-;\-* #,##0.00_-;_-* &quot;-&quot;??_-;_-@_-"/>
    <numFmt numFmtId="165" formatCode="0.0000"/>
    <numFmt numFmtId="166" formatCode="0.000"/>
    <numFmt numFmtId="167" formatCode="_ * #,##0.000_ ;_ * \-#,##0.000_ ;_ * &quot;-&quot;_ ;_ @_ "/>
    <numFmt numFmtId="168" formatCode="_ * #,##0.00_ ;_ * \-#,##0.00_ ;_ * \-_ ;_ @_ "/>
    <numFmt numFmtId="169" formatCode="#,##0.000"/>
  </numFmts>
  <fonts count="15" x14ac:knownFonts="1">
    <font>
      <sz val="10"/>
      <color theme="1"/>
      <name val="Century Gothic"/>
      <family val="2"/>
    </font>
    <font>
      <b/>
      <sz val="10"/>
      <color theme="1"/>
      <name val="Century Gothic"/>
      <family val="2"/>
    </font>
    <font>
      <b/>
      <sz val="11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color rgb="FFFFFFFF"/>
      <name val="Calibri"/>
      <family val="2"/>
    </font>
    <font>
      <sz val="10"/>
      <color theme="1"/>
      <name val="Century Gothic"/>
      <family val="2"/>
    </font>
    <font>
      <i/>
      <sz val="12"/>
      <color rgb="FF7F7F7F"/>
      <name val="Calibri"/>
      <family val="2"/>
      <scheme val="minor"/>
    </font>
    <font>
      <b/>
      <sz val="11"/>
      <color rgb="FF000000"/>
      <name val="Calibri"/>
      <family val="2"/>
    </font>
    <font>
      <b/>
      <sz val="11"/>
      <color rgb="FF000000"/>
      <name val="Calibri"/>
      <family val="2"/>
      <charset val="1"/>
    </font>
    <font>
      <b/>
      <sz val="11"/>
      <color theme="1"/>
      <name val="Calibri"/>
      <family val="2"/>
      <charset val="1"/>
    </font>
    <font>
      <sz val="11"/>
      <color theme="1"/>
      <name val="Calibri"/>
      <family val="2"/>
      <charset val="1"/>
    </font>
    <font>
      <sz val="11"/>
      <color theme="1"/>
      <name val="Arial"/>
      <family val="2"/>
    </font>
    <font>
      <sz val="11"/>
      <color theme="1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rgb="FFFFFF00"/>
        <bgColor rgb="FFFFFF00"/>
      </patternFill>
    </fill>
    <fill>
      <patternFill patternType="solid">
        <fgColor rgb="FFFFFFFF"/>
        <bgColor rgb="FFFFFFCC"/>
      </patternFill>
    </fill>
  </fills>
  <borders count="28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164" fontId="7" fillId="0" borderId="0" applyFont="0" applyFill="0" applyBorder="0" applyAlignment="0" applyProtection="0"/>
    <xf numFmtId="0" fontId="8" fillId="0" borderId="0" applyNumberFormat="0" applyFill="0" applyBorder="0" applyAlignment="0" applyProtection="0"/>
  </cellStyleXfs>
  <cellXfs count="114">
    <xf numFmtId="0" fontId="0" fillId="0" borderId="0" xfId="0"/>
    <xf numFmtId="0" fontId="0" fillId="2" borderId="0" xfId="0" applyFill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0" borderId="4" xfId="0" applyBorder="1"/>
    <xf numFmtId="2" fontId="0" fillId="0" borderId="4" xfId="0" applyNumberFormat="1" applyBorder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0" fillId="0" borderId="0" xfId="0" applyAlignment="1">
      <alignment horizontal="right"/>
    </xf>
    <xf numFmtId="3" fontId="0" fillId="0" borderId="0" xfId="0" applyNumberFormat="1"/>
    <xf numFmtId="0" fontId="1" fillId="0" borderId="6" xfId="0" applyFont="1" applyBorder="1" applyAlignment="1">
      <alignment horizontal="right"/>
    </xf>
    <xf numFmtId="3" fontId="1" fillId="0" borderId="6" xfId="0" applyNumberFormat="1" applyFont="1" applyBorder="1"/>
    <xf numFmtId="0" fontId="0" fillId="0" borderId="0" xfId="0" applyAlignment="1">
      <alignment vertical="center"/>
    </xf>
    <xf numFmtId="0" fontId="0" fillId="0" borderId="6" xfId="0" applyBorder="1"/>
    <xf numFmtId="0" fontId="3" fillId="6" borderId="4" xfId="0" applyFont="1" applyFill="1" applyBorder="1" applyAlignment="1">
      <alignment horizontal="center"/>
    </xf>
    <xf numFmtId="0" fontId="4" fillId="0" borderId="0" xfId="0" applyFont="1"/>
    <xf numFmtId="0" fontId="4" fillId="0" borderId="10" xfId="0" applyFont="1" applyBorder="1"/>
    <xf numFmtId="0" fontId="4" fillId="0" borderId="1" xfId="0" applyFont="1" applyBorder="1" applyAlignment="1">
      <alignment horizontal="center"/>
    </xf>
    <xf numFmtId="0" fontId="4" fillId="0" borderId="11" xfId="0" applyFont="1" applyBorder="1"/>
    <xf numFmtId="0" fontId="4" fillId="0" borderId="2" xfId="0" applyFont="1" applyBorder="1"/>
    <xf numFmtId="0" fontId="4" fillId="0" borderId="3" xfId="0" applyFont="1" applyBorder="1" applyAlignment="1">
      <alignment horizontal="center"/>
    </xf>
    <xf numFmtId="166" fontId="4" fillId="0" borderId="0" xfId="0" applyNumberFormat="1" applyFont="1"/>
    <xf numFmtId="166" fontId="4" fillId="0" borderId="2" xfId="0" applyNumberFormat="1" applyFont="1" applyBorder="1"/>
    <xf numFmtId="0" fontId="0" fillId="2" borderId="1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9" fillId="7" borderId="0" xfId="0" applyFont="1" applyFill="1" applyAlignment="1">
      <alignment horizontal="center"/>
    </xf>
    <xf numFmtId="0" fontId="10" fillId="0" borderId="0" xfId="0" applyFont="1"/>
    <xf numFmtId="0" fontId="11" fillId="0" borderId="0" xfId="0" applyFont="1"/>
    <xf numFmtId="0" fontId="12" fillId="0" borderId="0" xfId="0" applyFont="1"/>
    <xf numFmtId="0" fontId="10" fillId="8" borderId="17" xfId="0" applyFont="1" applyFill="1" applyBorder="1" applyAlignment="1">
      <alignment horizontal="center" vertical="center"/>
    </xf>
    <xf numFmtId="0" fontId="10" fillId="8" borderId="18" xfId="0" applyFont="1" applyFill="1" applyBorder="1" applyAlignment="1">
      <alignment horizontal="center" vertical="center"/>
    </xf>
    <xf numFmtId="0" fontId="10" fillId="8" borderId="19" xfId="2" applyFont="1" applyFill="1" applyBorder="1" applyAlignment="1">
      <alignment horizontal="center" vertical="center"/>
    </xf>
    <xf numFmtId="0" fontId="10" fillId="8" borderId="20" xfId="2" applyFont="1" applyFill="1" applyBorder="1" applyAlignment="1">
      <alignment horizontal="center" vertical="center"/>
    </xf>
    <xf numFmtId="0" fontId="10" fillId="8" borderId="21" xfId="2" applyFont="1" applyFill="1" applyBorder="1" applyAlignment="1">
      <alignment horizontal="center" vertical="center"/>
    </xf>
    <xf numFmtId="0" fontId="10" fillId="0" borderId="23" xfId="0" applyFont="1" applyBorder="1" applyAlignment="1">
      <alignment horizontal="center"/>
    </xf>
    <xf numFmtId="0" fontId="10" fillId="0" borderId="23" xfId="0" applyFont="1" applyBorder="1"/>
    <xf numFmtId="0" fontId="0" fillId="8" borderId="24" xfId="0" applyFill="1" applyBorder="1" applyAlignment="1">
      <alignment horizontal="center" vertical="center"/>
    </xf>
    <xf numFmtId="0" fontId="0" fillId="8" borderId="7" xfId="0" applyFill="1" applyBorder="1" applyAlignment="1">
      <alignment horizontal="center" vertical="center"/>
    </xf>
    <xf numFmtId="168" fontId="0" fillId="0" borderId="16" xfId="2" applyNumberFormat="1" applyFont="1" applyBorder="1"/>
    <xf numFmtId="164" fontId="0" fillId="0" borderId="0" xfId="1" applyFont="1"/>
    <xf numFmtId="167" fontId="12" fillId="0" borderId="0" xfId="0" applyNumberFormat="1" applyFont="1"/>
    <xf numFmtId="0" fontId="0" fillId="2" borderId="1" xfId="0" applyFill="1" applyBorder="1" applyAlignment="1">
      <alignment horizontal="center" vertical="center"/>
    </xf>
    <xf numFmtId="0" fontId="6" fillId="6" borderId="2" xfId="0" applyFont="1" applyFill="1" applyBorder="1" applyAlignment="1">
      <alignment horizontal="center" vertical="center" wrapText="1"/>
    </xf>
    <xf numFmtId="0" fontId="0" fillId="2" borderId="0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0" borderId="2" xfId="0" applyBorder="1" applyAlignment="1">
      <alignment vertical="center"/>
    </xf>
    <xf numFmtId="0" fontId="1" fillId="0" borderId="2" xfId="0" applyFont="1" applyFill="1" applyBorder="1" applyAlignment="1">
      <alignment vertical="center"/>
    </xf>
    <xf numFmtId="166" fontId="0" fillId="0" borderId="0" xfId="0" applyNumberFormat="1"/>
    <xf numFmtId="3" fontId="0" fillId="0" borderId="27" xfId="2" applyNumberFormat="1" applyFont="1" applyBorder="1" applyAlignment="1">
      <alignment horizontal="center"/>
    </xf>
    <xf numFmtId="3" fontId="0" fillId="0" borderId="25" xfId="2" applyNumberFormat="1" applyFont="1" applyBorder="1" applyAlignment="1">
      <alignment horizontal="center"/>
    </xf>
    <xf numFmtId="3" fontId="0" fillId="0" borderId="16" xfId="2" applyNumberFormat="1" applyFont="1" applyBorder="1" applyAlignment="1">
      <alignment horizontal="center"/>
    </xf>
    <xf numFmtId="3" fontId="0" fillId="0" borderId="26" xfId="2" applyNumberFormat="1" applyFont="1" applyBorder="1" applyAlignment="1">
      <alignment horizontal="center"/>
    </xf>
    <xf numFmtId="0" fontId="0" fillId="0" borderId="0" xfId="0" applyBorder="1" applyAlignment="1">
      <alignment vertical="center"/>
    </xf>
    <xf numFmtId="0" fontId="13" fillId="0" borderId="0" xfId="0" applyFont="1"/>
    <xf numFmtId="0" fontId="0" fillId="2" borderId="5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0" borderId="0" xfId="0" applyFill="1" applyBorder="1"/>
    <xf numFmtId="165" fontId="1" fillId="0" borderId="0" xfId="0" applyNumberFormat="1" applyFont="1" applyFill="1" applyBorder="1" applyAlignment="1">
      <alignment horizontal="center"/>
    </xf>
    <xf numFmtId="166" fontId="0" fillId="0" borderId="5" xfId="0" applyNumberFormat="1" applyBorder="1" applyAlignment="1">
      <alignment horizontal="center" vertical="center"/>
    </xf>
    <xf numFmtId="166" fontId="0" fillId="0" borderId="1" xfId="0" applyNumberFormat="1" applyBorder="1" applyAlignment="1">
      <alignment horizontal="center" vertical="center"/>
    </xf>
    <xf numFmtId="2" fontId="0" fillId="0" borderId="5" xfId="0" applyNumberFormat="1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3" fontId="0" fillId="0" borderId="9" xfId="0" applyNumberFormat="1" applyBorder="1" applyAlignment="1">
      <alignment horizontal="center" vertical="center"/>
    </xf>
    <xf numFmtId="3" fontId="0" fillId="0" borderId="4" xfId="0" applyNumberFormat="1" applyBorder="1" applyAlignment="1">
      <alignment horizontal="center" vertical="center"/>
    </xf>
    <xf numFmtId="3" fontId="0" fillId="0" borderId="5" xfId="0" applyNumberFormat="1" applyBorder="1" applyAlignment="1">
      <alignment horizontal="center" vertical="center"/>
    </xf>
    <xf numFmtId="3" fontId="0" fillId="0" borderId="10" xfId="0" applyNumberFormat="1" applyBorder="1" applyAlignment="1">
      <alignment horizontal="center" vertical="center"/>
    </xf>
    <xf numFmtId="3" fontId="0" fillId="0" borderId="0" xfId="0" applyNumberFormat="1" applyBorder="1" applyAlignment="1">
      <alignment horizontal="center" vertical="center"/>
    </xf>
    <xf numFmtId="3" fontId="0" fillId="0" borderId="1" xfId="0" applyNumberFormat="1" applyBorder="1" applyAlignment="1">
      <alignment horizontal="center" vertical="center"/>
    </xf>
    <xf numFmtId="0" fontId="0" fillId="0" borderId="10" xfId="0" applyBorder="1"/>
    <xf numFmtId="166" fontId="5" fillId="0" borderId="0" xfId="0" applyNumberFormat="1" applyFont="1"/>
    <xf numFmtId="3" fontId="2" fillId="3" borderId="8" xfId="0" applyNumberFormat="1" applyFont="1" applyFill="1" applyBorder="1" applyAlignment="1">
      <alignment horizontal="center" vertical="center"/>
    </xf>
    <xf numFmtId="0" fontId="2" fillId="3" borderId="16" xfId="0" applyFont="1" applyFill="1" applyBorder="1" applyAlignment="1">
      <alignment horizontal="right"/>
    </xf>
    <xf numFmtId="169" fontId="2" fillId="3" borderId="6" xfId="0" applyNumberFormat="1" applyFont="1" applyFill="1" applyBorder="1" applyAlignment="1">
      <alignment horizontal="center" vertical="center"/>
    </xf>
    <xf numFmtId="3" fontId="2" fillId="3" borderId="6" xfId="0" applyNumberFormat="1" applyFont="1" applyFill="1" applyBorder="1" applyAlignment="1">
      <alignment horizontal="center" vertical="center"/>
    </xf>
    <xf numFmtId="169" fontId="2" fillId="3" borderId="8" xfId="0" applyNumberFormat="1" applyFont="1" applyFill="1" applyBorder="1" applyAlignment="1">
      <alignment horizontal="center" vertical="center"/>
    </xf>
    <xf numFmtId="165" fontId="0" fillId="0" borderId="0" xfId="0" applyNumberFormat="1"/>
    <xf numFmtId="0" fontId="14" fillId="0" borderId="16" xfId="0" applyFont="1" applyBorder="1" applyAlignment="1">
      <alignment horizontal="center" vertical="center"/>
    </xf>
    <xf numFmtId="166" fontId="0" fillId="0" borderId="1" xfId="0" applyNumberFormat="1" applyBorder="1"/>
    <xf numFmtId="0" fontId="0" fillId="0" borderId="11" xfId="0" applyBorder="1"/>
    <xf numFmtId="166" fontId="0" fillId="0" borderId="3" xfId="0" applyNumberFormat="1" applyBorder="1"/>
    <xf numFmtId="0" fontId="5" fillId="0" borderId="0" xfId="0" applyFont="1" applyAlignment="1">
      <alignment horizontal="right"/>
    </xf>
    <xf numFmtId="166" fontId="5" fillId="0" borderId="0" xfId="0" applyNumberFormat="1" applyFont="1" applyAlignment="1">
      <alignment horizontal="right"/>
    </xf>
    <xf numFmtId="0" fontId="6" fillId="6" borderId="2" xfId="0" applyFont="1" applyFill="1" applyBorder="1" applyAlignment="1">
      <alignment horizontal="center" vertical="center"/>
    </xf>
    <xf numFmtId="0" fontId="0" fillId="0" borderId="0" xfId="0" applyBorder="1"/>
    <xf numFmtId="0" fontId="0" fillId="0" borderId="2" xfId="0" applyBorder="1"/>
    <xf numFmtId="0" fontId="2" fillId="0" borderId="3" xfId="0" applyFont="1" applyFill="1" applyBorder="1" applyAlignment="1">
      <alignment horizontal="center"/>
    </xf>
    <xf numFmtId="4" fontId="0" fillId="0" borderId="9" xfId="0" applyNumberFormat="1" applyBorder="1" applyAlignment="1">
      <alignment horizontal="center" vertical="center"/>
    </xf>
    <xf numFmtId="4" fontId="0" fillId="0" borderId="10" xfId="0" applyNumberFormat="1" applyBorder="1" applyAlignment="1">
      <alignment horizontal="center" vertical="center"/>
    </xf>
    <xf numFmtId="4" fontId="0" fillId="0" borderId="11" xfId="0" applyNumberFormat="1" applyBorder="1" applyAlignment="1">
      <alignment horizontal="center" vertical="center"/>
    </xf>
    <xf numFmtId="166" fontId="0" fillId="0" borderId="3" xfId="0" applyNumberFormat="1" applyBorder="1" applyAlignment="1">
      <alignment horizontal="center" vertical="center"/>
    </xf>
    <xf numFmtId="0" fontId="3" fillId="6" borderId="9" xfId="0" applyFont="1" applyFill="1" applyBorder="1" applyAlignment="1">
      <alignment horizontal="center"/>
    </xf>
    <xf numFmtId="0" fontId="3" fillId="6" borderId="5" xfId="0" applyFont="1" applyFill="1" applyBorder="1" applyAlignment="1">
      <alignment horizontal="center"/>
    </xf>
    <xf numFmtId="0" fontId="1" fillId="5" borderId="7" xfId="0" applyFont="1" applyFill="1" applyBorder="1" applyAlignment="1">
      <alignment horizontal="center" vertical="center"/>
    </xf>
    <xf numFmtId="0" fontId="1" fillId="5" borderId="6" xfId="0" applyFont="1" applyFill="1" applyBorder="1" applyAlignment="1">
      <alignment horizontal="center" vertical="center"/>
    </xf>
    <xf numFmtId="0" fontId="1" fillId="5" borderId="8" xfId="0" applyFont="1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/>
    </xf>
    <xf numFmtId="0" fontId="0" fillId="2" borderId="4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10" fillId="0" borderId="14" xfId="0" applyFont="1" applyBorder="1" applyAlignment="1">
      <alignment horizontal="center"/>
    </xf>
    <xf numFmtId="0" fontId="10" fillId="0" borderId="15" xfId="0" applyFont="1" applyBorder="1" applyAlignment="1">
      <alignment horizontal="center"/>
    </xf>
    <xf numFmtId="0" fontId="10" fillId="0" borderId="13" xfId="0" applyFont="1" applyBorder="1" applyAlignment="1">
      <alignment horizontal="center"/>
    </xf>
    <xf numFmtId="0" fontId="10" fillId="0" borderId="12" xfId="2" applyFont="1" applyBorder="1" applyAlignment="1">
      <alignment horizontal="center"/>
    </xf>
    <xf numFmtId="0" fontId="10" fillId="0" borderId="12" xfId="2" applyFont="1" applyBorder="1" applyAlignment="1">
      <alignment horizontal="center" vertical="center" wrapText="1"/>
    </xf>
    <xf numFmtId="0" fontId="10" fillId="0" borderId="22" xfId="2" applyFont="1" applyBorder="1" applyAlignment="1">
      <alignment horizontal="center" vertical="center" wrapText="1"/>
    </xf>
    <xf numFmtId="0" fontId="3" fillId="6" borderId="9" xfId="0" applyFont="1" applyFill="1" applyBorder="1" applyAlignment="1">
      <alignment horizontal="center"/>
    </xf>
    <xf numFmtId="0" fontId="3" fillId="6" borderId="5" xfId="0" applyFont="1" applyFill="1" applyBorder="1" applyAlignment="1">
      <alignment horizontal="center"/>
    </xf>
  </cellXfs>
  <cellStyles count="3">
    <cellStyle name="Millares" xfId="1" builtinId="3"/>
    <cellStyle name="Normal" xfId="0" builtinId="0"/>
    <cellStyle name="Texto explicativo" xfId="2" builtinId="53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Operaci&#243;n%20Comercial/Clientes/15_Aela_Generaci&#243;n/Disco%20Aela/13.%20Facturacion%20Dx/12.%20Precios/C&#225;lculo%20de%20tarifas/Licitaci&#243;n%202015-02/PNP9T-PNCP9T_REV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RTADA"/>
      <sheetName val="Factores de modulación"/>
      <sheetName val="CPI"/>
      <sheetName val="PNP"/>
      <sheetName val="Licitación"/>
      <sheetName val="Distribuidoras"/>
      <sheetName val="CET"/>
      <sheetName val="Resultados"/>
    </sheetNames>
    <sheetDataSet>
      <sheetData sheetId="0"/>
      <sheetData sheetId="1">
        <row r="3">
          <cell r="I3" t="str">
            <v>9T S2/2021</v>
          </cell>
        </row>
      </sheetData>
      <sheetData sheetId="2"/>
      <sheetData sheetId="3">
        <row r="5">
          <cell r="C5" t="str">
            <v>9T Enero 2022</v>
          </cell>
        </row>
        <row r="8">
          <cell r="C8">
            <v>268.14</v>
          </cell>
        </row>
        <row r="9">
          <cell r="C9">
            <v>744.1</v>
          </cell>
        </row>
        <row r="15">
          <cell r="C15">
            <v>1</v>
          </cell>
        </row>
        <row r="16">
          <cell r="C16">
            <v>0.87432978856607546</v>
          </cell>
        </row>
      </sheetData>
      <sheetData sheetId="4">
        <row r="3">
          <cell r="C3" t="str">
            <v>2015/02</v>
          </cell>
        </row>
        <row r="5">
          <cell r="C5">
            <v>79.322000000000003</v>
          </cell>
        </row>
        <row r="6">
          <cell r="C6">
            <v>8.3592999999999993</v>
          </cell>
        </row>
        <row r="7">
          <cell r="C7">
            <v>237.09</v>
          </cell>
        </row>
      </sheetData>
      <sheetData sheetId="5"/>
      <sheetData sheetId="6">
        <row r="5">
          <cell r="G5">
            <v>248.35900000000001</v>
          </cell>
        </row>
      </sheetData>
      <sheetData sheetId="7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3844F8-9AF1-4E8B-AFAD-818F3F34D32A}">
  <sheetPr codeName="Hoja1"/>
  <dimension ref="A2:O30"/>
  <sheetViews>
    <sheetView topLeftCell="C1" zoomScale="90" zoomScaleNormal="90" workbookViewId="0">
      <selection activeCell="I17" sqref="I17"/>
    </sheetView>
  </sheetViews>
  <sheetFormatPr baseColWidth="10" defaultRowHeight="13.2" x14ac:dyDescent="0.25"/>
  <cols>
    <col min="2" max="2" width="7.33203125" bestFit="1" customWidth="1"/>
    <col min="3" max="3" width="25.44140625" bestFit="1" customWidth="1"/>
    <col min="4" max="4" width="17.6640625" bestFit="1" customWidth="1"/>
    <col min="5" max="5" width="16.44140625" bestFit="1" customWidth="1"/>
    <col min="6" max="6" width="10.44140625" customWidth="1"/>
    <col min="7" max="7" width="16.44140625" bestFit="1" customWidth="1"/>
    <col min="8" max="8" width="16.109375" customWidth="1"/>
    <col min="9" max="12" width="16.44140625" customWidth="1"/>
    <col min="14" max="14" width="29.5546875" customWidth="1"/>
    <col min="15" max="15" width="19.33203125" customWidth="1"/>
  </cols>
  <sheetData>
    <row r="2" spans="1:15" s="13" customFormat="1" x14ac:dyDescent="0.25">
      <c r="A2" s="53"/>
      <c r="B2" s="53"/>
      <c r="C2" s="60"/>
      <c r="D2" s="61"/>
      <c r="E2" s="53"/>
      <c r="F2" s="46"/>
      <c r="G2" s="46"/>
      <c r="H2" s="47"/>
      <c r="I2" s="96" t="s">
        <v>16</v>
      </c>
      <c r="J2" s="97"/>
      <c r="K2" s="97"/>
      <c r="L2" s="98"/>
    </row>
    <row r="3" spans="1:15" x14ac:dyDescent="0.25">
      <c r="A3" s="99" t="s">
        <v>15</v>
      </c>
      <c r="B3" s="102" t="s">
        <v>0</v>
      </c>
      <c r="C3" s="104" t="s">
        <v>1</v>
      </c>
      <c r="D3" s="56" t="s">
        <v>2</v>
      </c>
      <c r="E3" s="55" t="s">
        <v>3</v>
      </c>
      <c r="F3" s="24" t="s">
        <v>41</v>
      </c>
      <c r="G3" s="1" t="s">
        <v>4</v>
      </c>
      <c r="H3" s="2" t="s">
        <v>5</v>
      </c>
      <c r="I3" s="45" t="s">
        <v>32</v>
      </c>
      <c r="J3" s="44" t="s">
        <v>4</v>
      </c>
      <c r="K3" s="44" t="s">
        <v>31</v>
      </c>
      <c r="L3" s="42" t="s">
        <v>41</v>
      </c>
      <c r="N3" s="101" t="s">
        <v>51</v>
      </c>
      <c r="O3" s="101"/>
    </row>
    <row r="4" spans="1:15" ht="14.4" x14ac:dyDescent="0.3">
      <c r="A4" s="100"/>
      <c r="B4" s="103"/>
      <c r="C4" s="105"/>
      <c r="D4" s="45" t="s">
        <v>6</v>
      </c>
      <c r="E4" s="42" t="s">
        <v>7</v>
      </c>
      <c r="F4" s="25" t="s">
        <v>48</v>
      </c>
      <c r="G4" s="3" t="s">
        <v>50</v>
      </c>
      <c r="H4" s="4" t="s">
        <v>8</v>
      </c>
      <c r="I4" s="59" t="s">
        <v>14</v>
      </c>
      <c r="J4" s="57" t="s">
        <v>14</v>
      </c>
      <c r="K4" s="57" t="s">
        <v>14</v>
      </c>
      <c r="L4" s="58" t="s">
        <v>14</v>
      </c>
      <c r="N4" s="8" t="s">
        <v>55</v>
      </c>
      <c r="O4" s="8" t="s">
        <v>60</v>
      </c>
    </row>
    <row r="5" spans="1:15" x14ac:dyDescent="0.25">
      <c r="A5" t="s">
        <v>60</v>
      </c>
      <c r="B5" s="5" t="s">
        <v>9</v>
      </c>
      <c r="C5" s="5" t="s">
        <v>36</v>
      </c>
      <c r="D5" s="90">
        <f>VLOOKUP($C5,Px!$D$16:$K$18,8,0)</f>
        <v>5902.8711999999996</v>
      </c>
      <c r="E5" s="62">
        <f>VLOOKUP($C5,Px!$D$16:$K$18,7,0)</f>
        <v>52.249000000000002</v>
      </c>
      <c r="F5" s="62"/>
      <c r="G5" s="6"/>
      <c r="H5" s="64">
        <f>(COOPELAN!C6)/1000</f>
        <v>6.0059408931977583</v>
      </c>
      <c r="I5" s="66">
        <f t="shared" ref="I5:I13" si="0">ROUND(H5*E5*1000,0)</f>
        <v>313804</v>
      </c>
      <c r="J5" s="67">
        <f t="shared" ref="J5:J9" si="1">ROUND(G5*D5*1000,0)</f>
        <v>0</v>
      </c>
      <c r="K5" s="67"/>
      <c r="L5" s="68">
        <f t="shared" ref="L5:L12" si="2">H5*F5*1000</f>
        <v>0</v>
      </c>
      <c r="N5" s="9" t="str">
        <f>"Active Energy: "&amp;TEXT(H14*1000,"#,###")&amp;" kWh"</f>
        <v>Active Energy: 239,951 kWh</v>
      </c>
      <c r="O5" s="10">
        <f>I14</f>
        <v>12825301</v>
      </c>
    </row>
    <row r="6" spans="1:15" x14ac:dyDescent="0.25">
      <c r="A6" t="s">
        <v>60</v>
      </c>
      <c r="B6" t="s">
        <v>9</v>
      </c>
      <c r="C6" s="87" t="s">
        <v>59</v>
      </c>
      <c r="D6" s="91">
        <f>VLOOKUP($C6,Px!$D$16:$K$18,8,0)</f>
        <v>5810.0123000000003</v>
      </c>
      <c r="E6" s="63">
        <f>VLOOKUP($C6,Px!$D$16:$K$18,7,0)</f>
        <v>53.621000000000002</v>
      </c>
      <c r="F6" s="63"/>
      <c r="G6" s="7"/>
      <c r="H6" s="65">
        <f>(COOPELAN!F6)/1000</f>
        <v>59.271865439852455</v>
      </c>
      <c r="I6" s="69">
        <f t="shared" si="0"/>
        <v>3178217</v>
      </c>
      <c r="J6" s="70">
        <f t="shared" si="1"/>
        <v>0</v>
      </c>
      <c r="K6" s="70"/>
      <c r="L6" s="71">
        <f t="shared" si="2"/>
        <v>0</v>
      </c>
      <c r="N6" s="9" t="str">
        <f>"Capacity: "&amp;TEXT(G14*1000,"###")&amp;" kW"</f>
        <v>Capacity: 475 kW</v>
      </c>
      <c r="O6" s="10">
        <f>J14</f>
        <v>2763341</v>
      </c>
    </row>
    <row r="7" spans="1:15" x14ac:dyDescent="0.25">
      <c r="A7" t="s">
        <v>60</v>
      </c>
      <c r="B7" t="s">
        <v>9</v>
      </c>
      <c r="C7" s="87" t="s">
        <v>61</v>
      </c>
      <c r="D7" s="91">
        <f>VLOOKUP($C7,Px!$D$16:$K$18,8,0)</f>
        <v>5786.0941000000003</v>
      </c>
      <c r="E7" s="63">
        <f>VLOOKUP($C7,Px!$D$16:$K$18,7,0)</f>
        <v>51.793999999999997</v>
      </c>
      <c r="F7" s="63"/>
      <c r="G7" s="7"/>
      <c r="H7" s="65">
        <f>(COOPELAN!I6)/1000</f>
        <v>1.8572734510203301</v>
      </c>
      <c r="I7" s="69">
        <f t="shared" si="0"/>
        <v>96196</v>
      </c>
      <c r="J7" s="70">
        <f t="shared" si="1"/>
        <v>0</v>
      </c>
      <c r="K7" s="70"/>
      <c r="L7" s="71">
        <f t="shared" si="2"/>
        <v>0</v>
      </c>
      <c r="N7" s="9" t="s">
        <v>13</v>
      </c>
      <c r="O7" s="10">
        <f>K14</f>
        <v>0</v>
      </c>
    </row>
    <row r="8" spans="1:15" x14ac:dyDescent="0.25">
      <c r="A8" t="s">
        <v>60</v>
      </c>
      <c r="B8" t="s">
        <v>10</v>
      </c>
      <c r="C8" s="87" t="s">
        <v>36</v>
      </c>
      <c r="D8" s="91">
        <f>VLOOKUP($C8,Px!$D$16:$K$18,8,0)</f>
        <v>5902.8711999999996</v>
      </c>
      <c r="E8" s="63">
        <f>VLOOKUP($C8,Px!$D$16:$K$18,7,0)</f>
        <v>52.249000000000002</v>
      </c>
      <c r="F8" s="63"/>
      <c r="G8" s="7"/>
      <c r="H8" s="65">
        <f>(COOPELAN!D7)/1000</f>
        <v>9.4813864192299526</v>
      </c>
      <c r="I8" s="69">
        <f t="shared" si="0"/>
        <v>495393</v>
      </c>
      <c r="J8" s="70">
        <f t="shared" si="1"/>
        <v>0</v>
      </c>
      <c r="K8" s="70"/>
      <c r="L8" s="71">
        <f t="shared" ref="L8:L10" si="3">H8*F8*1000</f>
        <v>0</v>
      </c>
      <c r="N8" s="9" t="s">
        <v>41</v>
      </c>
      <c r="O8" s="10">
        <f>L14</f>
        <v>0</v>
      </c>
    </row>
    <row r="9" spans="1:15" x14ac:dyDescent="0.25">
      <c r="A9" t="s">
        <v>60</v>
      </c>
      <c r="B9" t="s">
        <v>10</v>
      </c>
      <c r="C9" s="87" t="s">
        <v>59</v>
      </c>
      <c r="D9" s="91">
        <f>VLOOKUP($C9,Px!$D$16:$K$18,8,0)</f>
        <v>5810.0123000000003</v>
      </c>
      <c r="E9" s="63">
        <f>VLOOKUP($C9,Px!$D$16:$K$18,7,0)</f>
        <v>53.621000000000002</v>
      </c>
      <c r="F9" s="63"/>
      <c r="G9" s="7"/>
      <c r="H9" s="65">
        <f>(COOPELAN!G7)/1000</f>
        <v>95.192536475544159</v>
      </c>
      <c r="I9" s="69">
        <f t="shared" si="0"/>
        <v>5104319</v>
      </c>
      <c r="J9" s="70">
        <f t="shared" si="1"/>
        <v>0</v>
      </c>
      <c r="K9" s="70"/>
      <c r="L9" s="71">
        <f t="shared" si="3"/>
        <v>0</v>
      </c>
      <c r="N9" s="11" t="s">
        <v>12</v>
      </c>
      <c r="O9" s="12">
        <f>SUM(O5:O8)</f>
        <v>15588642</v>
      </c>
    </row>
    <row r="10" spans="1:15" x14ac:dyDescent="0.25">
      <c r="A10" t="s">
        <v>60</v>
      </c>
      <c r="B10" t="s">
        <v>10</v>
      </c>
      <c r="C10" s="87" t="s">
        <v>61</v>
      </c>
      <c r="D10" s="91">
        <f>VLOOKUP($C10,Px!$D$16:$K$18,8,0)</f>
        <v>5786.0941000000003</v>
      </c>
      <c r="E10" s="63">
        <f>VLOOKUP($C10,Px!$D$16:$K$18,7,0)</f>
        <v>51.793999999999997</v>
      </c>
      <c r="F10" s="63"/>
      <c r="G10" s="7"/>
      <c r="H10" s="65">
        <f>(COOPELAN!J7)/1000</f>
        <v>2.9890469538572182</v>
      </c>
      <c r="I10" s="69">
        <f t="shared" si="0"/>
        <v>154815</v>
      </c>
      <c r="J10" s="70">
        <f>ROUND(G10*D10*1000,0)</f>
        <v>0</v>
      </c>
      <c r="K10" s="70"/>
      <c r="L10" s="71">
        <f t="shared" si="3"/>
        <v>0</v>
      </c>
    </row>
    <row r="11" spans="1:15" x14ac:dyDescent="0.25">
      <c r="A11" t="s">
        <v>60</v>
      </c>
      <c r="B11" t="s">
        <v>11</v>
      </c>
      <c r="C11" s="87" t="s">
        <v>36</v>
      </c>
      <c r="D11" s="91">
        <f>VLOOKUP($C11,Px!$D$16:$K$18,8,0)</f>
        <v>5902.8711999999996</v>
      </c>
      <c r="E11" s="63">
        <f>VLOOKUP($C11,Px!$D$16:$K$18,7,0)</f>
        <v>52.249000000000002</v>
      </c>
      <c r="F11" s="63"/>
      <c r="G11" s="7">
        <f>COOPELAN!M8/1000</f>
        <v>4.0807182702662384E-2</v>
      </c>
      <c r="H11" s="65">
        <f>(COOPELAN!E8)/1000</f>
        <v>5.5970142337801763</v>
      </c>
      <c r="I11" s="69">
        <f t="shared" si="0"/>
        <v>292438</v>
      </c>
      <c r="J11" s="70">
        <f>ROUND(G11*D11*1000,0)</f>
        <v>240880</v>
      </c>
      <c r="K11" s="70"/>
      <c r="L11" s="71">
        <f t="shared" si="2"/>
        <v>0</v>
      </c>
    </row>
    <row r="12" spans="1:15" x14ac:dyDescent="0.25">
      <c r="A12" t="s">
        <v>60</v>
      </c>
      <c r="B12" t="s">
        <v>11</v>
      </c>
      <c r="C12" s="87" t="s">
        <v>59</v>
      </c>
      <c r="D12" s="91">
        <f>VLOOKUP($C12,Px!$D$16:$K$18,8,0)</f>
        <v>5810.0123000000003</v>
      </c>
      <c r="E12" s="63">
        <f>VLOOKUP($C12,Px!$D$16:$K$18,7,0)</f>
        <v>53.621000000000002</v>
      </c>
      <c r="F12" s="63"/>
      <c r="G12" s="7">
        <f>COOPELAN!N8/1000</f>
        <v>0.42102292658537649</v>
      </c>
      <c r="H12" s="65">
        <f>(COOPELAN!H8)/1000</f>
        <v>57.74648375057744</v>
      </c>
      <c r="I12" s="69">
        <f t="shared" si="0"/>
        <v>3096424</v>
      </c>
      <c r="J12" s="70">
        <f>ROUND(G12*D12*1000,0)</f>
        <v>2446148</v>
      </c>
      <c r="K12" s="70"/>
      <c r="L12" s="71">
        <f t="shared" si="2"/>
        <v>0</v>
      </c>
    </row>
    <row r="13" spans="1:15" x14ac:dyDescent="0.25">
      <c r="A13" t="s">
        <v>60</v>
      </c>
      <c r="B13" t="s">
        <v>11</v>
      </c>
      <c r="C13" s="87" t="s">
        <v>61</v>
      </c>
      <c r="D13" s="92">
        <f>VLOOKUP($C13,Px!$D$16:$K$18,8,0)</f>
        <v>5786.0941000000003</v>
      </c>
      <c r="E13" s="93">
        <f>VLOOKUP($C13,Px!$D$16:$K$18,7,0)</f>
        <v>51.793999999999997</v>
      </c>
      <c r="F13" s="63"/>
      <c r="G13" s="7">
        <f>COOPELAN!O8/1000</f>
        <v>1.3189112191065073E-2</v>
      </c>
      <c r="H13" s="65">
        <f>(COOPELAN!K8)/1000</f>
        <v>1.80898664831127</v>
      </c>
      <c r="I13" s="69">
        <f t="shared" si="0"/>
        <v>93695</v>
      </c>
      <c r="J13" s="70">
        <f>ROUND(G13*D13*1000,0)</f>
        <v>76313</v>
      </c>
      <c r="K13" s="70"/>
      <c r="L13" s="71">
        <f>H13*F13*1000</f>
        <v>0</v>
      </c>
    </row>
    <row r="14" spans="1:15" ht="14.4" x14ac:dyDescent="0.3">
      <c r="A14" s="14"/>
      <c r="B14" s="14"/>
      <c r="C14" s="14"/>
      <c r="D14" s="88"/>
      <c r="E14" s="89"/>
      <c r="F14" s="75" t="s">
        <v>12</v>
      </c>
      <c r="G14" s="76">
        <f>SUM(G5:G13)</f>
        <v>0.47501922147910391</v>
      </c>
      <c r="H14" s="78">
        <f t="shared" ref="H14:L14" si="4">SUM(H5:H13)</f>
        <v>239.95053426537075</v>
      </c>
      <c r="I14" s="77">
        <f>SUM(I5:I13)</f>
        <v>12825301</v>
      </c>
      <c r="J14" s="77">
        <f t="shared" si="4"/>
        <v>2763341</v>
      </c>
      <c r="K14" s="77">
        <f t="shared" si="4"/>
        <v>0</v>
      </c>
      <c r="L14" s="74">
        <f t="shared" si="4"/>
        <v>0</v>
      </c>
    </row>
    <row r="16" spans="1:15" x14ac:dyDescent="0.25">
      <c r="E16" s="9" t="s">
        <v>53</v>
      </c>
      <c r="F16" t="s">
        <v>54</v>
      </c>
      <c r="M16" s="72"/>
    </row>
    <row r="20" spans="1:15" ht="13.8" x14ac:dyDescent="0.25">
      <c r="I20" s="54"/>
    </row>
    <row r="27" spans="1:15" x14ac:dyDescent="0.25">
      <c r="A27" s="13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</row>
    <row r="28" spans="1:15" x14ac:dyDescent="0.25">
      <c r="N28" s="13"/>
      <c r="O28" s="13"/>
    </row>
    <row r="29" spans="1:15" x14ac:dyDescent="0.25">
      <c r="I29" s="10"/>
      <c r="J29" s="10"/>
    </row>
    <row r="30" spans="1:15" s="13" customFormat="1" ht="20.25" customHeight="1" x14ac:dyDescent="0.25">
      <c r="A30"/>
      <c r="B30"/>
      <c r="C30"/>
      <c r="D30"/>
      <c r="E30"/>
      <c r="F30"/>
      <c r="G30"/>
      <c r="H30"/>
      <c r="I30"/>
      <c r="J30"/>
      <c r="K30"/>
      <c r="L30"/>
      <c r="N30"/>
      <c r="O30"/>
    </row>
  </sheetData>
  <mergeCells count="5">
    <mergeCell ref="I2:L2"/>
    <mergeCell ref="A3:A4"/>
    <mergeCell ref="N3:O3"/>
    <mergeCell ref="B3:B4"/>
    <mergeCell ref="C3:C4"/>
  </mergeCells>
  <pageMargins left="0.7" right="0.7" top="0.75" bottom="0.75" header="0.3" footer="0.3"/>
  <pageSetup paperSize="9"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D9420E-8113-4C9E-93F6-07948D51EF61}">
  <sheetPr codeName="Hoja3"/>
  <dimension ref="A2:S8"/>
  <sheetViews>
    <sheetView workbookViewId="0">
      <selection activeCell="E14" sqref="E14"/>
    </sheetView>
  </sheetViews>
  <sheetFormatPr baseColWidth="10" defaultRowHeight="13.2" x14ac:dyDescent="0.25"/>
  <cols>
    <col min="1" max="1" width="21" bestFit="1" customWidth="1"/>
    <col min="13" max="13" width="14.33203125" bestFit="1" customWidth="1"/>
    <col min="15" max="15" width="12.33203125" bestFit="1" customWidth="1"/>
    <col min="16" max="18" width="3.6640625" customWidth="1"/>
  </cols>
  <sheetData>
    <row r="2" spans="1:19" ht="15" thickBot="1" x14ac:dyDescent="0.3">
      <c r="A2" s="80" t="s">
        <v>62</v>
      </c>
    </row>
    <row r="3" spans="1:19" ht="15" thickBot="1" x14ac:dyDescent="0.35">
      <c r="A3" s="26" t="s">
        <v>37</v>
      </c>
      <c r="B3" s="26" t="s">
        <v>73</v>
      </c>
      <c r="C3" s="106" t="s">
        <v>38</v>
      </c>
      <c r="D3" s="107"/>
      <c r="E3" s="107"/>
      <c r="F3" s="107"/>
      <c r="G3" s="107"/>
      <c r="H3" s="107"/>
      <c r="I3" s="107"/>
      <c r="J3" s="107"/>
      <c r="K3" s="107"/>
      <c r="L3" s="108"/>
      <c r="M3" s="106" t="s">
        <v>22</v>
      </c>
      <c r="N3" s="107"/>
      <c r="O3" s="108"/>
      <c r="R3" s="27"/>
      <c r="S3" s="28"/>
    </row>
    <row r="4" spans="1:19" ht="15" thickBot="1" x14ac:dyDescent="0.35">
      <c r="C4" s="109" t="s">
        <v>56</v>
      </c>
      <c r="D4" s="109"/>
      <c r="E4" s="109"/>
      <c r="F4" s="109" t="s">
        <v>57</v>
      </c>
      <c r="G4" s="109"/>
      <c r="H4" s="109"/>
      <c r="I4" s="109" t="s">
        <v>58</v>
      </c>
      <c r="J4" s="109"/>
      <c r="K4" s="109"/>
      <c r="L4" s="110" t="s">
        <v>39</v>
      </c>
      <c r="M4" s="106" t="s">
        <v>40</v>
      </c>
      <c r="N4" s="107"/>
      <c r="O4" s="108"/>
      <c r="S4" s="29"/>
    </row>
    <row r="5" spans="1:19" ht="15" thickBot="1" x14ac:dyDescent="0.35">
      <c r="A5" s="30" t="s">
        <v>42</v>
      </c>
      <c r="B5" s="31" t="s">
        <v>43</v>
      </c>
      <c r="C5" s="32" t="s">
        <v>33</v>
      </c>
      <c r="D5" s="33" t="s">
        <v>34</v>
      </c>
      <c r="E5" s="34" t="s">
        <v>35</v>
      </c>
      <c r="F5" s="32" t="s">
        <v>33</v>
      </c>
      <c r="G5" s="33" t="s">
        <v>34</v>
      </c>
      <c r="H5" s="34" t="s">
        <v>35</v>
      </c>
      <c r="I5" s="32" t="s">
        <v>33</v>
      </c>
      <c r="J5" s="33" t="s">
        <v>34</v>
      </c>
      <c r="K5" s="34" t="s">
        <v>35</v>
      </c>
      <c r="L5" s="111"/>
      <c r="M5" s="35" t="s">
        <v>56</v>
      </c>
      <c r="N5" s="36" t="s">
        <v>57</v>
      </c>
      <c r="O5" s="36" t="s">
        <v>58</v>
      </c>
      <c r="S5" s="29"/>
    </row>
    <row r="6" spans="1:19" ht="14.4" x14ac:dyDescent="0.3">
      <c r="A6" s="37" t="s">
        <v>44</v>
      </c>
      <c r="B6" s="38" t="s">
        <v>45</v>
      </c>
      <c r="C6" s="50">
        <v>6005.9408931977587</v>
      </c>
      <c r="D6" s="51">
        <v>0</v>
      </c>
      <c r="E6" s="51">
        <v>0</v>
      </c>
      <c r="F6" s="51">
        <v>59271.865439852452</v>
      </c>
      <c r="G6" s="51">
        <v>0</v>
      </c>
      <c r="H6" s="51">
        <v>0</v>
      </c>
      <c r="I6" s="51">
        <v>1857.2734510203302</v>
      </c>
      <c r="J6" s="51">
        <v>0</v>
      </c>
      <c r="K6" s="52">
        <v>0</v>
      </c>
      <c r="L6" s="49">
        <f>SUM(C6:K6)</f>
        <v>67135.079784070549</v>
      </c>
      <c r="M6" s="39">
        <v>0</v>
      </c>
      <c r="N6" s="39">
        <v>0</v>
      </c>
      <c r="O6" s="39">
        <v>0</v>
      </c>
      <c r="P6" s="40"/>
      <c r="S6" s="41"/>
    </row>
    <row r="7" spans="1:19" ht="14.4" x14ac:dyDescent="0.3">
      <c r="A7" s="37" t="s">
        <v>44</v>
      </c>
      <c r="B7" s="38" t="s">
        <v>46</v>
      </c>
      <c r="C7" s="50">
        <v>0</v>
      </c>
      <c r="D7" s="51">
        <v>9481.3864192299534</v>
      </c>
      <c r="E7" s="51">
        <v>0</v>
      </c>
      <c r="F7" s="51">
        <v>0</v>
      </c>
      <c r="G7" s="51">
        <v>95192.536475544155</v>
      </c>
      <c r="H7" s="51">
        <v>0</v>
      </c>
      <c r="I7" s="51">
        <v>0</v>
      </c>
      <c r="J7" s="51">
        <v>2989.0469538572183</v>
      </c>
      <c r="K7" s="52">
        <v>0</v>
      </c>
      <c r="L7" s="49">
        <f>SUM(C7:K7)</f>
        <v>107662.96984863133</v>
      </c>
      <c r="M7" s="39">
        <v>0</v>
      </c>
      <c r="N7" s="39">
        <v>0</v>
      </c>
      <c r="O7" s="39">
        <v>0</v>
      </c>
      <c r="P7" s="40"/>
      <c r="S7" s="41"/>
    </row>
    <row r="8" spans="1:19" ht="14.4" x14ac:dyDescent="0.3">
      <c r="A8" s="37" t="s">
        <v>44</v>
      </c>
      <c r="B8" s="38" t="s">
        <v>47</v>
      </c>
      <c r="C8" s="50">
        <v>0</v>
      </c>
      <c r="D8" s="51">
        <v>0</v>
      </c>
      <c r="E8" s="51">
        <v>5597.0142337801763</v>
      </c>
      <c r="F8" s="51">
        <v>0</v>
      </c>
      <c r="G8" s="51">
        <v>0</v>
      </c>
      <c r="H8" s="51">
        <v>57746.483750577441</v>
      </c>
      <c r="I8" s="51">
        <v>0</v>
      </c>
      <c r="J8" s="51">
        <v>0</v>
      </c>
      <c r="K8" s="52">
        <v>1808.9866483112701</v>
      </c>
      <c r="L8" s="49">
        <f>SUM(C8:K8)</f>
        <v>65152.484632668886</v>
      </c>
      <c r="M8" s="39">
        <v>40.807182702662381</v>
      </c>
      <c r="N8" s="39">
        <v>421.02292658537647</v>
      </c>
      <c r="O8" s="39">
        <v>13.189112191065073</v>
      </c>
      <c r="P8" s="40"/>
      <c r="S8" s="41"/>
    </row>
  </sheetData>
  <mergeCells count="7">
    <mergeCell ref="M4:O4"/>
    <mergeCell ref="M3:O3"/>
    <mergeCell ref="C3:L3"/>
    <mergeCell ref="C4:E4"/>
    <mergeCell ref="F4:H4"/>
    <mergeCell ref="I4:K4"/>
    <mergeCell ref="L4:L5"/>
  </mergeCells>
  <conditionalFormatting sqref="M4 A3:L4 A5:O8">
    <cfRule type="cellIs" dxfId="0" priority="2" operator="lessThan">
      <formula>0</formula>
    </cfRule>
  </conditionalFormatting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12DAE2-3808-4DBB-8716-E49A2D85A784}">
  <dimension ref="C2:K18"/>
  <sheetViews>
    <sheetView tabSelected="1" workbookViewId="0">
      <selection activeCell="G8" sqref="G8"/>
    </sheetView>
  </sheetViews>
  <sheetFormatPr baseColWidth="10" defaultRowHeight="13.2" x14ac:dyDescent="0.25"/>
  <cols>
    <col min="3" max="3" width="17.21875" bestFit="1" customWidth="1"/>
    <col min="4" max="4" width="15.77734375" bestFit="1" customWidth="1"/>
    <col min="5" max="5" width="12.33203125" bestFit="1" customWidth="1"/>
    <col min="6" max="6" width="19.109375" bestFit="1" customWidth="1"/>
    <col min="13" max="13" width="14.5546875" bestFit="1" customWidth="1"/>
    <col min="14" max="14" width="15.77734375" bestFit="1" customWidth="1"/>
    <col min="15" max="15" width="14.21875" customWidth="1"/>
    <col min="16" max="16" width="14.33203125" customWidth="1"/>
    <col min="17" max="17" width="18.6640625" customWidth="1"/>
    <col min="18" max="18" width="18.88671875" customWidth="1"/>
    <col min="19" max="19" width="15.6640625" customWidth="1"/>
    <col min="20" max="20" width="15.77734375" customWidth="1"/>
    <col min="21" max="21" width="16.77734375" customWidth="1"/>
  </cols>
  <sheetData>
    <row r="2" spans="3:11" ht="13.8" x14ac:dyDescent="0.3">
      <c r="C2" s="94" t="s">
        <v>17</v>
      </c>
      <c r="D2" s="15"/>
      <c r="E2" s="15" t="s">
        <v>18</v>
      </c>
      <c r="F2" s="95" t="s">
        <v>19</v>
      </c>
    </row>
    <row r="3" spans="3:11" ht="13.8" x14ac:dyDescent="0.3">
      <c r="C3" s="17" t="s">
        <v>20</v>
      </c>
      <c r="D3" s="16" t="s">
        <v>21</v>
      </c>
      <c r="E3" s="16">
        <f>+[1]Licitación!C5</f>
        <v>79.322000000000003</v>
      </c>
      <c r="F3" s="18" t="str">
        <f>_xlfn.CONCAT("PPA Licitación "&amp;E8)</f>
        <v>PPA Licitación 2015/02</v>
      </c>
      <c r="H3" s="112" t="s">
        <v>63</v>
      </c>
      <c r="I3" s="113"/>
    </row>
    <row r="4" spans="3:11" ht="13.8" x14ac:dyDescent="0.3">
      <c r="C4" s="19" t="s">
        <v>22</v>
      </c>
      <c r="D4" s="20" t="s">
        <v>23</v>
      </c>
      <c r="E4" s="20">
        <f>+[1]Licitación!C6</f>
        <v>8.3592999999999993</v>
      </c>
      <c r="F4" s="21" t="str">
        <f>_xlfn.CONCAT("PPA Licitación "&amp;E8)</f>
        <v>PPA Licitación 2015/02</v>
      </c>
      <c r="H4" s="72" t="s">
        <v>64</v>
      </c>
      <c r="I4" s="81">
        <f>+[1]PNP!C16</f>
        <v>0.87432978856607546</v>
      </c>
    </row>
    <row r="5" spans="3:11" ht="13.8" x14ac:dyDescent="0.3">
      <c r="C5" s="94" t="s">
        <v>17</v>
      </c>
      <c r="D5" s="15"/>
      <c r="E5" s="15" t="s">
        <v>18</v>
      </c>
      <c r="F5" s="95" t="s">
        <v>19</v>
      </c>
      <c r="H5" s="82" t="s">
        <v>22</v>
      </c>
      <c r="I5" s="83">
        <f>+[1]PNP!C15</f>
        <v>1</v>
      </c>
    </row>
    <row r="6" spans="3:11" ht="13.8" x14ac:dyDescent="0.3">
      <c r="C6" s="17" t="s">
        <v>24</v>
      </c>
      <c r="D6" s="16"/>
      <c r="E6" s="16">
        <f>+[1]PNP!C9</f>
        <v>744.1</v>
      </c>
      <c r="F6" s="18" t="str">
        <f>+[1]PNP!C5</f>
        <v>9T Enero 2022</v>
      </c>
    </row>
    <row r="7" spans="3:11" ht="13.8" x14ac:dyDescent="0.3">
      <c r="C7" s="17" t="s">
        <v>25</v>
      </c>
      <c r="D7" s="16"/>
      <c r="E7" s="73">
        <f>+[1]PNP!C8</f>
        <v>268.14</v>
      </c>
      <c r="F7" s="18" t="str">
        <f>+[1]PNP!C5</f>
        <v>9T Enero 2022</v>
      </c>
    </row>
    <row r="8" spans="3:11" ht="13.8" x14ac:dyDescent="0.3">
      <c r="C8" s="17" t="s">
        <v>65</v>
      </c>
      <c r="D8" s="16"/>
      <c r="E8" s="84" t="str">
        <f>+[1]Licitación!C3</f>
        <v>2015/02</v>
      </c>
      <c r="F8" s="18"/>
    </row>
    <row r="9" spans="3:11" ht="13.8" x14ac:dyDescent="0.3">
      <c r="C9" s="17" t="s">
        <v>66</v>
      </c>
      <c r="D9" s="16"/>
      <c r="E9" s="85" t="s">
        <v>67</v>
      </c>
      <c r="F9" s="18"/>
    </row>
    <row r="10" spans="3:11" ht="13.8" x14ac:dyDescent="0.3">
      <c r="C10" s="17" t="s">
        <v>68</v>
      </c>
      <c r="D10" s="16"/>
      <c r="E10" s="73">
        <f>+[1]Licitación!C7</f>
        <v>237.09</v>
      </c>
      <c r="F10" s="18"/>
    </row>
    <row r="11" spans="3:11" ht="13.8" x14ac:dyDescent="0.3">
      <c r="C11" s="17" t="s">
        <v>69</v>
      </c>
      <c r="D11" s="16"/>
      <c r="E11" s="22">
        <f>+[1]CET!G5</f>
        <v>248.35900000000001</v>
      </c>
      <c r="F11" s="18"/>
    </row>
    <row r="12" spans="3:11" ht="13.8" x14ac:dyDescent="0.3">
      <c r="C12" s="19" t="s">
        <v>26</v>
      </c>
      <c r="D12" s="20"/>
      <c r="E12" s="23"/>
      <c r="F12" s="21" t="str">
        <f>+'[1]Factores de modulación'!I3</f>
        <v>9T S2/2021</v>
      </c>
    </row>
    <row r="15" spans="3:11" ht="41.4" x14ac:dyDescent="0.25">
      <c r="C15" s="43" t="s">
        <v>49</v>
      </c>
      <c r="D15" s="43" t="s">
        <v>27</v>
      </c>
      <c r="E15" s="86" t="s">
        <v>28</v>
      </c>
      <c r="F15" s="43" t="s">
        <v>52</v>
      </c>
      <c r="G15" s="43" t="s">
        <v>70</v>
      </c>
      <c r="H15" s="43" t="s">
        <v>71</v>
      </c>
      <c r="I15" s="43" t="s">
        <v>72</v>
      </c>
      <c r="J15" s="43" t="s">
        <v>29</v>
      </c>
      <c r="K15" s="43" t="s">
        <v>30</v>
      </c>
    </row>
    <row r="16" spans="3:11" x14ac:dyDescent="0.25">
      <c r="C16" t="s">
        <v>60</v>
      </c>
      <c r="D16" t="s">
        <v>36</v>
      </c>
      <c r="E16" s="79">
        <v>0.92920000000000003</v>
      </c>
      <c r="F16" s="79">
        <v>0.83909999999999996</v>
      </c>
      <c r="G16" s="48">
        <v>83.358756099101598</v>
      </c>
      <c r="H16" s="79">
        <v>7.9329003890851562</v>
      </c>
      <c r="I16" s="48">
        <v>3.048748528670191</v>
      </c>
      <c r="J16" s="48">
        <v>52.249000000000002</v>
      </c>
      <c r="K16" s="79">
        <v>5902.8711999999996</v>
      </c>
    </row>
    <row r="17" spans="3:11" x14ac:dyDescent="0.25">
      <c r="C17" t="s">
        <v>60</v>
      </c>
      <c r="D17" t="s">
        <v>57</v>
      </c>
      <c r="E17" s="79">
        <v>0.9536</v>
      </c>
      <c r="F17" s="79">
        <v>0.82589999999999997</v>
      </c>
      <c r="G17" s="48">
        <v>85.547685983752999</v>
      </c>
      <c r="H17" s="79">
        <v>7.808106818430975</v>
      </c>
      <c r="I17" s="48">
        <v>3.1288060664441395</v>
      </c>
      <c r="J17" s="48">
        <v>53.621000000000002</v>
      </c>
      <c r="K17" s="79">
        <v>5810.0123000000003</v>
      </c>
    </row>
    <row r="18" spans="3:11" x14ac:dyDescent="0.25">
      <c r="C18" t="s">
        <v>60</v>
      </c>
      <c r="D18" t="s">
        <v>61</v>
      </c>
      <c r="E18" s="79">
        <v>0.92110000000000003</v>
      </c>
      <c r="F18" s="79">
        <v>0.82250000000000001</v>
      </c>
      <c r="G18" s="48">
        <v>82.632103145590278</v>
      </c>
      <c r="H18" s="79">
        <v>7.7759630199291401</v>
      </c>
      <c r="I18" s="48">
        <v>3.0221720509665442</v>
      </c>
      <c r="J18" s="48">
        <v>51.793999999999997</v>
      </c>
      <c r="K18" s="79">
        <v>5786.0941000000003</v>
      </c>
    </row>
  </sheetData>
  <mergeCells count="1">
    <mergeCell ref="H3:I3"/>
  </mergeCells>
  <dataValidations count="1">
    <dataValidation type="list" allowBlank="1" showInputMessage="1" showErrorMessage="1" errorTitle="Información no válida" error="Debe seleccionar &quot;SI&quot; o &quot;NO&quot;" sqref="E9" xr:uid="{DDA2F64E-7A1A-4A6B-B65B-AF1224138693}">
      <formula1>"SI,NO"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Montos facturar</vt:lpstr>
      <vt:lpstr>COOPELAN</vt:lpstr>
      <vt:lpstr>Px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Jaime Rivera</dc:creator>
  <cp:lastModifiedBy>cinzunza</cp:lastModifiedBy>
  <dcterms:created xsi:type="dcterms:W3CDTF">2018-11-16T13:10:45Z</dcterms:created>
  <dcterms:modified xsi:type="dcterms:W3CDTF">2022-07-08T14:13:47Z</dcterms:modified>
</cp:coreProperties>
</file>